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60" windowWidth="16380" windowHeight="7530" activeTab="6"/>
  </bookViews>
  <sheets>
    <sheet name="Table5" sheetId="3" r:id="rId1"/>
    <sheet name="Table1" sheetId="4" r:id="rId2"/>
    <sheet name="Table2" sheetId="5" r:id="rId3"/>
    <sheet name="Table3" sheetId="6" r:id="rId4"/>
    <sheet name="Table4" sheetId="7" r:id="rId5"/>
    <sheet name="Табл.6 " sheetId="10" r:id="rId6"/>
    <sheet name="Табл 7" sheetId="11" r:id="rId7"/>
    <sheet name="Общехоз." sheetId="12" r:id="rId8"/>
    <sheet name="услуга 1" sheetId="13" r:id="rId9"/>
    <sheet name="СММ" sheetId="14" r:id="rId10"/>
    <sheet name="ГТО" sheetId="15" r:id="rId11"/>
  </sheets>
  <definedNames>
    <definedName name="Print_Titles_0" localSheetId="1">Table1!$2:$4</definedName>
    <definedName name="Print_Titles_0" localSheetId="0">Table5!$2:$4</definedName>
    <definedName name="_xlnm.Print_Titles" localSheetId="1">Table1!$2:$4</definedName>
    <definedName name="_xlnm.Print_Titles" localSheetId="0">Table5!$2:$4</definedName>
    <definedName name="_xlnm.Print_Area" localSheetId="1">Table1!$A$1:$F$40</definedName>
    <definedName name="_xlnm.Print_Area" localSheetId="2">Table2!$A$1:$H$26</definedName>
    <definedName name="_xlnm.Print_Area" localSheetId="3">Table3!$A$1:$F$10</definedName>
    <definedName name="_xlnm.Print_Area" localSheetId="4">Table4!$A$1:$D$23</definedName>
    <definedName name="_xlnm.Print_Area" localSheetId="0">Table5!$A$1:$C$20</definedName>
    <definedName name="_xlnm.Print_Area" localSheetId="5">'Табл.6 '!$A$1:$H$23</definedName>
  </definedNames>
  <calcPr calcId="145621"/>
</workbook>
</file>

<file path=xl/calcChain.xml><?xml version="1.0" encoding="utf-8"?>
<calcChain xmlns="http://schemas.openxmlformats.org/spreadsheetml/2006/main">
  <c r="G15" i="10" l="1"/>
  <c r="E14" i="11" l="1"/>
  <c r="E13" i="11" s="1"/>
  <c r="E12" i="11" s="1"/>
  <c r="E10" i="11"/>
  <c r="E9" i="11" s="1"/>
  <c r="E11" i="11"/>
  <c r="E8" i="11"/>
  <c r="E7" i="11" s="1"/>
  <c r="G11" i="10"/>
  <c r="G10" i="10" s="1"/>
  <c r="G13" i="10"/>
  <c r="G14" i="10"/>
  <c r="L5" i="5"/>
  <c r="H17" i="13"/>
  <c r="E6" i="11" l="1"/>
  <c r="H7" i="12"/>
  <c r="H8" i="12"/>
  <c r="E18" i="12"/>
  <c r="D12" i="7" l="1"/>
  <c r="D7" i="7"/>
  <c r="J15" i="5"/>
  <c r="J7" i="5"/>
  <c r="E7" i="4" l="1"/>
  <c r="E17" i="4" l="1"/>
  <c r="E24" i="4"/>
  <c r="E29" i="4" s="1"/>
  <c r="H19" i="14" l="1"/>
  <c r="H19" i="15"/>
  <c r="E5" i="14" l="1"/>
  <c r="E11" i="13"/>
  <c r="E12" i="14"/>
  <c r="E11" i="14"/>
  <c r="E10" i="14"/>
  <c r="E9" i="14"/>
  <c r="E12" i="13"/>
  <c r="E9" i="13"/>
  <c r="E10" i="13"/>
  <c r="E5" i="13"/>
  <c r="E12" i="15"/>
  <c r="E11" i="15"/>
  <c r="E10" i="15"/>
  <c r="E9" i="15"/>
  <c r="E5" i="15"/>
  <c r="H19" i="13"/>
  <c r="H17" i="12"/>
  <c r="H16" i="12"/>
  <c r="H15" i="12"/>
  <c r="H14" i="12"/>
  <c r="H9" i="12"/>
  <c r="P5" i="5"/>
  <c r="H13" i="12" l="1"/>
  <c r="H5" i="12"/>
  <c r="H12" i="12"/>
  <c r="E17" i="14"/>
  <c r="D11" i="10" s="1"/>
  <c r="H11" i="12"/>
  <c r="H10" i="12"/>
  <c r="E17" i="13"/>
  <c r="D8" i="10" s="1"/>
  <c r="E17" i="15"/>
  <c r="D14" i="10" l="1"/>
  <c r="H18" i="12"/>
  <c r="D11" i="7" l="1"/>
  <c r="J5" i="5"/>
  <c r="J8" i="5"/>
  <c r="J9" i="5"/>
  <c r="J10" i="5"/>
  <c r="J14" i="5"/>
  <c r="J16" i="5"/>
  <c r="J17" i="5"/>
  <c r="G18" i="5"/>
  <c r="L17" i="5" l="1"/>
  <c r="D13" i="7"/>
  <c r="D15" i="7"/>
  <c r="D9" i="7" l="1"/>
  <c r="G5" i="7"/>
  <c r="D8" i="7" l="1"/>
  <c r="D16" i="7" l="1"/>
  <c r="E14" i="4"/>
  <c r="G8" i="10" l="1"/>
  <c r="G7" i="10" s="1"/>
  <c r="G6" i="10" l="1"/>
  <c r="C14" i="10" l="1"/>
  <c r="C13" i="10" l="1"/>
  <c r="B13" i="11"/>
  <c r="B12" i="11" s="1"/>
  <c r="D10" i="7"/>
  <c r="F6" i="6"/>
  <c r="J20" i="5" l="1"/>
  <c r="N17" i="5"/>
  <c r="F15" i="11"/>
  <c r="D14" i="7"/>
  <c r="D17" i="7" s="1"/>
  <c r="G9" i="10"/>
  <c r="C10" i="11" l="1"/>
  <c r="C7" i="11"/>
  <c r="C8" i="10" l="1"/>
  <c r="C13" i="11"/>
  <c r="F14" i="10"/>
  <c r="H14" i="10" s="1"/>
  <c r="H13" i="10" s="1"/>
  <c r="D13" i="10"/>
  <c r="D7" i="10"/>
  <c r="D10" i="10"/>
  <c r="E21" i="4"/>
  <c r="F8" i="10" l="1"/>
  <c r="H8" i="10" s="1"/>
  <c r="B7" i="11"/>
  <c r="C11" i="10"/>
  <c r="J18" i="5"/>
  <c r="L20" i="5"/>
  <c r="C7" i="10"/>
  <c r="F13" i="10"/>
  <c r="D13" i="11"/>
  <c r="C12" i="11"/>
  <c r="C11" i="11"/>
  <c r="C9" i="11"/>
  <c r="C6" i="11"/>
  <c r="C8" i="11"/>
  <c r="B10" i="11" l="1"/>
  <c r="G13" i="11"/>
  <c r="G12" i="11" s="1"/>
  <c r="D12" i="11"/>
  <c r="F11" i="10"/>
  <c r="C10" i="10"/>
  <c r="H7" i="10"/>
  <c r="F7" i="10"/>
  <c r="B8" i="11"/>
  <c r="B6" i="11"/>
  <c r="D7" i="11"/>
  <c r="G7" i="11" s="1"/>
  <c r="D8" i="11" l="1"/>
  <c r="D6" i="11"/>
  <c r="H11" i="10"/>
  <c r="F10" i="10"/>
  <c r="B11" i="11"/>
  <c r="B9" i="11"/>
  <c r="D10" i="11"/>
  <c r="G10" i="11" l="1"/>
  <c r="D9" i="11"/>
  <c r="D11" i="11"/>
  <c r="H10" i="10"/>
  <c r="G8" i="11"/>
  <c r="G6" i="11"/>
  <c r="G9" i="11" l="1"/>
  <c r="G11" i="11"/>
  <c r="G15" i="11" l="1"/>
  <c r="G16" i="11" s="1"/>
</calcChain>
</file>

<file path=xl/sharedStrings.xml><?xml version="1.0" encoding="utf-8"?>
<sst xmlns="http://schemas.openxmlformats.org/spreadsheetml/2006/main" count="400" uniqueCount="105">
  <si>
    <t>Расчет норматива на оказание услуг(работ)</t>
  </si>
  <si>
    <t>№ п/п</t>
  </si>
  <si>
    <t>Наименование услуги(работы)/категория потребителей услуги (содержания работы)</t>
  </si>
  <si>
    <t>Сумма прямых затрат,  руб.</t>
  </si>
  <si>
    <t>Сумма общехозяйственных затрат,  руб.</t>
  </si>
  <si>
    <t>База распределения</t>
  </si>
  <si>
    <t>Сумма затрат услуги(работы),  руб.</t>
  </si>
  <si>
    <t>План показателя объёма услуги(работы)</t>
  </si>
  <si>
    <t>Сумма затрат на единицу услуги(работы), руб.</t>
  </si>
  <si>
    <t>1</t>
  </si>
  <si>
    <t>2</t>
  </si>
  <si>
    <t>4</t>
  </si>
  <si>
    <t>5</t>
  </si>
  <si>
    <t>6</t>
  </si>
  <si>
    <t>7=(4)+(5)</t>
  </si>
  <si>
    <t>9=(7)/(8)</t>
  </si>
  <si>
    <t>1.1</t>
  </si>
  <si>
    <t>Объемы услуги</t>
  </si>
  <si>
    <t>Наименование услуги (работы)</t>
  </si>
  <si>
    <t>Нормативные затраты, непосредственно связанные с оказанием услуги(работы)</t>
  </si>
  <si>
    <t>Нормативные затраты на общехозяйствен-ные нужды</t>
  </si>
  <si>
    <t>Итого нормативные затраты на оказание услуги(работы)</t>
  </si>
  <si>
    <t>Объем услуги(работы)</t>
  </si>
  <si>
    <t>Затраты на содержание имущества</t>
  </si>
  <si>
    <t>Сумма финансового обеспечения выполнения задания</t>
  </si>
  <si>
    <t>руб. за ед.</t>
  </si>
  <si>
    <t>ед.</t>
  </si>
  <si>
    <t>руб</t>
  </si>
  <si>
    <t>3</t>
  </si>
  <si>
    <t>7</t>
  </si>
  <si>
    <t>Итого очередной год</t>
  </si>
  <si>
    <t>Показатели объема оказываемой услуги</t>
  </si>
  <si>
    <t>Наименование показателей объема оказываемой услуги</t>
  </si>
  <si>
    <t>Прямые затраты учреждения</t>
  </si>
  <si>
    <t>Наименование</t>
  </si>
  <si>
    <t>Итого норматив на 2016 год</t>
  </si>
  <si>
    <t>1.</t>
  </si>
  <si>
    <t>Заработная плата с начислениями</t>
  </si>
  <si>
    <t>Увелич.стоим.мат.зап</t>
  </si>
  <si>
    <t>Прочие выплаты</t>
  </si>
  <si>
    <t>2.</t>
  </si>
  <si>
    <t>ИТОГО</t>
  </si>
  <si>
    <t>Затраты на общехозяйственные нужды</t>
  </si>
  <si>
    <t>КОСГУ</t>
  </si>
  <si>
    <t>Наименование затрат</t>
  </si>
  <si>
    <t>211</t>
  </si>
  <si>
    <t>213</t>
  </si>
  <si>
    <t>Начисл. на  опл.труд</t>
  </si>
  <si>
    <t>3.</t>
  </si>
  <si>
    <t>221</t>
  </si>
  <si>
    <t>Услуги связи</t>
  </si>
  <si>
    <t>4.</t>
  </si>
  <si>
    <t>222</t>
  </si>
  <si>
    <t>Транспортные услуги</t>
  </si>
  <si>
    <t>5.</t>
  </si>
  <si>
    <t>223</t>
  </si>
  <si>
    <t>Теплоэнергия</t>
  </si>
  <si>
    <t>Водоснабжение</t>
  </si>
  <si>
    <t>Стоки</t>
  </si>
  <si>
    <t>Электроэнергия</t>
  </si>
  <si>
    <t>225</t>
  </si>
  <si>
    <t>Усл.по сод-ю им-ва</t>
  </si>
  <si>
    <t>226</t>
  </si>
  <si>
    <t>Прочие услуги</t>
  </si>
  <si>
    <t>ИТОГО расходов</t>
  </si>
  <si>
    <t>Затраты на содержание имущества  учреждения</t>
  </si>
  <si>
    <t>290</t>
  </si>
  <si>
    <t>Прочие расходы</t>
  </si>
  <si>
    <t>Затраты на весь объем</t>
  </si>
  <si>
    <t>340</t>
  </si>
  <si>
    <t>Заработная плата</t>
  </si>
  <si>
    <t>212</t>
  </si>
  <si>
    <t>Коммунальные услуги</t>
  </si>
  <si>
    <t>Заработная плата с начислениями (инструктора)</t>
  </si>
  <si>
    <t>Заработная плата с начислениями (тренерский персонал)</t>
  </si>
  <si>
    <t>МБУ ФОК "Каскад" п. Чернышевский</t>
  </si>
  <si>
    <t xml:space="preserve"> </t>
  </si>
  <si>
    <t>Директор                                                                                            Новицкая А.В.</t>
  </si>
  <si>
    <t>Главный бухгалтер                                                                           Бугера Е.В.</t>
  </si>
  <si>
    <t>Директор                                                          Новицкая А.В.</t>
  </si>
  <si>
    <t>Главный бухгалтер                                          Бугера Е.В.</t>
  </si>
  <si>
    <t>Материальные затраты</t>
  </si>
  <si>
    <t>Органгизация и проведение спортивно-оздоровительной работы по развитию физической культуры и спорта среди различных групп населения (30030000000000000008104)</t>
  </si>
  <si>
    <t>Количество привлечённых лиц (человек)</t>
  </si>
  <si>
    <t>Организация и проведение официальных физкультурных (физкультурно-оздоровительных мероприятий) (30019100600000000008108)</t>
  </si>
  <si>
    <t>Организация и проведение официальных физкультурных (физкультурно-оздоровительных мероприятий) (30.019.1)</t>
  </si>
  <si>
    <t>Количество мероприятий (штук)</t>
  </si>
  <si>
    <t>3.1</t>
  </si>
  <si>
    <t>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 (30026100000000000005104)</t>
  </si>
  <si>
    <t>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 (30.026.1)</t>
  </si>
  <si>
    <t>2.1</t>
  </si>
  <si>
    <t>2.1.</t>
  </si>
  <si>
    <t>Организация и проведение спортивно-оздоровительной работы по развитию физической культуры и спорта среди различных групп населения (30030000000000000008104)</t>
  </si>
  <si>
    <t>Организация и проведение спортивно-оздоровительной работы по развитию физической культуры и спорта среди различных групп населения (30.031.1)</t>
  </si>
  <si>
    <t>Увеличение материальных запасов</t>
  </si>
  <si>
    <t>Сумма затрат в 2017 году, руб.</t>
  </si>
  <si>
    <t>Увеличение стоимости основных средств</t>
  </si>
  <si>
    <t>Основные средства</t>
  </si>
  <si>
    <t>Увелич.стоим.основных средств</t>
  </si>
  <si>
    <t>Приобретение спортивного оборудования</t>
  </si>
  <si>
    <t xml:space="preserve">  </t>
  </si>
  <si>
    <t>Сумма затрат в 2018 году, руб.</t>
  </si>
  <si>
    <t>2018 год</t>
  </si>
  <si>
    <t>Затраты (калькуляция) на единицу услуги на 2018 год</t>
  </si>
  <si>
    <t>на 2018 финансовый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</si>
</sst>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4" x14ac:knownFonts="1">
    <font>
      <sz val="10"/>
      <color rgb="FF000000"/>
      <name val="Times New Roman"/>
      <family val="1"/>
      <charset val="1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rgb="FFFFFFFF"/>
      <name val="Times New Roman"/>
      <family val="1"/>
      <charset val="204"/>
    </font>
    <font>
      <b/>
      <sz val="11"/>
      <color rgb="FFFFFFF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b/>
      <sz val="12"/>
      <color rgb="FFFFFFFF"/>
      <name val="Times New Roman"/>
      <family val="1"/>
      <charset val="1"/>
    </font>
    <font>
      <b/>
      <sz val="10"/>
      <color rgb="FF000000"/>
      <name val="Times New Roman"/>
      <family val="1"/>
      <charset val="204"/>
    </font>
    <font>
      <sz val="10"/>
      <color theme="1"/>
      <name val="Calibri"/>
      <family val="1"/>
      <scheme val="minor"/>
    </font>
    <font>
      <sz val="11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2">
    <xf numFmtId="0" fontId="0" fillId="0" borderId="0">
      <alignment vertical="top" wrapText="1"/>
    </xf>
    <xf numFmtId="0" fontId="12" fillId="0" borderId="0"/>
  </cellStyleXfs>
  <cellXfs count="88">
    <xf numFmtId="0" fontId="0" fillId="0" borderId="0" xfId="0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1" fontId="3" fillId="0" borderId="1" xfId="0" applyNumberFormat="1" applyFont="1" applyBorder="1" applyAlignment="1">
      <alignment horizontal="right" vertical="top" wrapText="1"/>
    </xf>
    <xf numFmtId="1" fontId="0" fillId="0" borderId="0" xfId="0" applyNumberFormat="1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right" vertical="center" wrapText="1"/>
    </xf>
    <xf numFmtId="4" fontId="0" fillId="0" borderId="0" xfId="0" applyNumberFormat="1" applyFont="1" applyAlignment="1">
      <alignment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4" fontId="0" fillId="0" borderId="0" xfId="0" applyNumberFormat="1">
      <alignment vertical="top" wrapText="1"/>
    </xf>
    <xf numFmtId="4" fontId="11" fillId="0" borderId="1" xfId="0" applyNumberFormat="1" applyFont="1" applyBorder="1">
      <alignment vertical="top" wrapText="1"/>
    </xf>
    <xf numFmtId="164" fontId="4" fillId="0" borderId="1" xfId="0" applyNumberFormat="1" applyFont="1" applyBorder="1" applyAlignment="1">
      <alignment vertical="top" wrapText="1"/>
    </xf>
    <xf numFmtId="164" fontId="3" fillId="0" borderId="1" xfId="0" applyNumberFormat="1" applyFont="1" applyBorder="1" applyAlignment="1">
      <alignment vertical="top" wrapText="1"/>
    </xf>
    <xf numFmtId="164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top" wrapText="1"/>
    </xf>
    <xf numFmtId="0" fontId="0" fillId="0" borderId="1" xfId="0" applyBorder="1">
      <alignment vertical="top" wrapText="1"/>
    </xf>
    <xf numFmtId="49" fontId="0" fillId="0" borderId="1" xfId="0" applyNumberFormat="1" applyBorder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vertical="top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>
      <alignment vertical="top" wrapText="1"/>
    </xf>
    <xf numFmtId="0" fontId="4" fillId="0" borderId="1" xfId="0" applyFont="1" applyBorder="1">
      <alignment vertical="top" wrapText="1"/>
    </xf>
    <xf numFmtId="0" fontId="9" fillId="0" borderId="1" xfId="0" applyFont="1" applyBorder="1" applyAlignment="1">
      <alignment horizontal="right" vertical="top" wrapText="1"/>
    </xf>
    <xf numFmtId="164" fontId="4" fillId="0" borderId="1" xfId="0" applyNumberFormat="1" applyFont="1" applyBorder="1">
      <alignment vertical="top" wrapText="1"/>
    </xf>
    <xf numFmtId="164" fontId="9" fillId="0" borderId="1" xfId="0" applyNumberFormat="1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Border="1">
      <alignment vertical="top" wrapText="1"/>
    </xf>
    <xf numFmtId="1" fontId="9" fillId="0" borderId="1" xfId="0" applyNumberFormat="1" applyFont="1" applyBorder="1" applyAlignment="1">
      <alignment horizontal="right" vertical="top" wrapText="1"/>
    </xf>
    <xf numFmtId="164" fontId="1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164" fontId="0" fillId="0" borderId="0" xfId="0" applyNumberFormat="1">
      <alignment vertical="top" wrapText="1"/>
    </xf>
    <xf numFmtId="1" fontId="4" fillId="0" borderId="1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top" wrapText="1"/>
    </xf>
    <xf numFmtId="164" fontId="9" fillId="2" borderId="1" xfId="0" applyNumberFormat="1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vertical="top" wrapText="1"/>
    </xf>
    <xf numFmtId="164" fontId="0" fillId="2" borderId="1" xfId="0" applyNumberFormat="1" applyFill="1" applyBorder="1">
      <alignment vertical="top" wrapText="1"/>
    </xf>
    <xf numFmtId="0" fontId="0" fillId="2" borderId="2" xfId="0" applyFill="1" applyBorder="1" applyAlignment="1">
      <alignment vertical="top" wrapText="1"/>
    </xf>
    <xf numFmtId="164" fontId="9" fillId="2" borderId="1" xfId="0" applyNumberFormat="1" applyFont="1" applyFill="1" applyBorder="1">
      <alignment vertical="top" wrapText="1"/>
    </xf>
    <xf numFmtId="4" fontId="8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164" fontId="9" fillId="0" borderId="7" xfId="0" applyNumberFormat="1" applyFont="1" applyBorder="1">
      <alignment vertical="top" wrapText="1"/>
    </xf>
    <xf numFmtId="164" fontId="8" fillId="2" borderId="1" xfId="0" applyNumberFormat="1" applyFont="1" applyFill="1" applyBorder="1" applyAlignment="1">
      <alignment horizontal="right" vertical="center" wrapText="1"/>
    </xf>
    <xf numFmtId="164" fontId="11" fillId="0" borderId="1" xfId="0" applyNumberFormat="1" applyFont="1" applyBorder="1">
      <alignment vertical="top" wrapText="1"/>
    </xf>
    <xf numFmtId="1" fontId="4" fillId="0" borderId="1" xfId="0" applyNumberFormat="1" applyFont="1" applyBorder="1">
      <alignment vertical="top" wrapText="1"/>
    </xf>
    <xf numFmtId="1" fontId="0" fillId="0" borderId="1" xfId="0" applyNumberFormat="1" applyBorder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0" fillId="0" borderId="0" xfId="0" applyNumberFormat="1" applyAlignment="1">
      <alignment horizontal="left" vertical="top" wrapText="1"/>
    </xf>
    <xf numFmtId="1" fontId="5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0" fillId="0" borderId="0" xfId="0" applyFont="1" applyAlignment="1">
      <alignment horizontal="left" vertical="top" wrapText="1"/>
    </xf>
    <xf numFmtId="0" fontId="0" fillId="0" borderId="0" xfId="0" applyFo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2"/>
  <sheetViews>
    <sheetView view="pageBreakPreview" zoomScale="60" zoomScaleNormal="100" workbookViewId="0">
      <selection activeCell="C3" sqref="C3"/>
    </sheetView>
  </sheetViews>
  <sheetFormatPr defaultRowHeight="12.75" x14ac:dyDescent="0.2"/>
  <cols>
    <col min="1" max="1" width="6.83203125" bestFit="1" customWidth="1"/>
    <col min="2" max="2" width="65"/>
    <col min="3" max="3" width="31.6640625"/>
    <col min="4" max="1020" width="8.6640625"/>
  </cols>
  <sheetData>
    <row r="2" spans="1:3" ht="27.6" customHeight="1" x14ac:dyDescent="0.2">
      <c r="A2" s="75" t="s">
        <v>31</v>
      </c>
      <c r="B2" s="75"/>
      <c r="C2" s="75"/>
    </row>
    <row r="3" spans="1:3" ht="31.5" customHeight="1" x14ac:dyDescent="0.2">
      <c r="A3" s="2" t="s">
        <v>1</v>
      </c>
      <c r="B3" s="2" t="s">
        <v>32</v>
      </c>
      <c r="C3" s="2" t="s">
        <v>102</v>
      </c>
    </row>
    <row r="4" spans="1:3" ht="21.6" customHeight="1" x14ac:dyDescent="0.2">
      <c r="A4" s="2" t="s">
        <v>9</v>
      </c>
      <c r="B4" s="2" t="s">
        <v>10</v>
      </c>
      <c r="C4" s="2" t="s">
        <v>28</v>
      </c>
    </row>
    <row r="5" spans="1:3" ht="57" customHeight="1" x14ac:dyDescent="0.2">
      <c r="A5" s="5" t="s">
        <v>9</v>
      </c>
      <c r="B5" s="19" t="s">
        <v>93</v>
      </c>
      <c r="C5" s="11"/>
    </row>
    <row r="6" spans="1:3" ht="43.5" customHeight="1" x14ac:dyDescent="0.2">
      <c r="A6" s="12" t="s">
        <v>16</v>
      </c>
      <c r="B6" s="13" t="s">
        <v>92</v>
      </c>
      <c r="C6" s="13"/>
    </row>
    <row r="7" spans="1:3" ht="14.25" customHeight="1" x14ac:dyDescent="0.2">
      <c r="A7" s="5"/>
      <c r="B7" s="6" t="s">
        <v>83</v>
      </c>
      <c r="C7" s="14">
        <v>381</v>
      </c>
    </row>
    <row r="8" spans="1:3" ht="45" customHeight="1" x14ac:dyDescent="0.2">
      <c r="A8" s="5" t="s">
        <v>10</v>
      </c>
      <c r="B8" s="19" t="s">
        <v>85</v>
      </c>
      <c r="C8" s="11"/>
    </row>
    <row r="9" spans="1:3" ht="51.75" customHeight="1" x14ac:dyDescent="0.2">
      <c r="A9" s="37" t="s">
        <v>91</v>
      </c>
      <c r="B9" s="13" t="s">
        <v>84</v>
      </c>
      <c r="C9" s="13"/>
    </row>
    <row r="10" spans="1:3" ht="14.25" customHeight="1" x14ac:dyDescent="0.2">
      <c r="A10" s="5"/>
      <c r="B10" s="6" t="s">
        <v>86</v>
      </c>
      <c r="C10" s="14">
        <v>53</v>
      </c>
    </row>
    <row r="11" spans="1:3" ht="57" x14ac:dyDescent="0.2">
      <c r="A11" s="5">
        <v>3</v>
      </c>
      <c r="B11" s="19" t="s">
        <v>89</v>
      </c>
      <c r="C11" s="11"/>
    </row>
    <row r="12" spans="1:3" ht="54.75" customHeight="1" x14ac:dyDescent="0.2">
      <c r="A12" s="37" t="s">
        <v>87</v>
      </c>
      <c r="B12" s="13" t="s">
        <v>88</v>
      </c>
      <c r="C12" s="13"/>
    </row>
    <row r="13" spans="1:3" ht="15" x14ac:dyDescent="0.2">
      <c r="A13" s="5"/>
      <c r="B13" s="6" t="s">
        <v>86</v>
      </c>
      <c r="C13" s="14">
        <v>22</v>
      </c>
    </row>
    <row r="15" spans="1:3" x14ac:dyDescent="0.2">
      <c r="B15" s="76"/>
      <c r="C15" s="76"/>
    </row>
    <row r="16" spans="1:3" x14ac:dyDescent="0.2">
      <c r="B16" s="76" t="s">
        <v>77</v>
      </c>
      <c r="C16" s="76"/>
    </row>
    <row r="17" spans="2:3" ht="12.75" customHeight="1" x14ac:dyDescent="0.2"/>
    <row r="18" spans="2:3" ht="12.75" customHeight="1" x14ac:dyDescent="0.2">
      <c r="B18" s="76" t="s">
        <v>78</v>
      </c>
      <c r="C18" s="76"/>
    </row>
    <row r="20" spans="2:3" x14ac:dyDescent="0.2">
      <c r="B20" s="76"/>
      <c r="C20" s="76"/>
    </row>
    <row r="22" spans="2:3" x14ac:dyDescent="0.2">
      <c r="B22" s="76"/>
      <c r="C22" s="76"/>
    </row>
  </sheetData>
  <mergeCells count="6">
    <mergeCell ref="A2:C2"/>
    <mergeCell ref="B20:C20"/>
    <mergeCell ref="B22:C22"/>
    <mergeCell ref="B15:C15"/>
    <mergeCell ref="B16:C16"/>
    <mergeCell ref="B18:C18"/>
  </mergeCells>
  <pageMargins left="0.39370078740157483" right="0.39370078740157483" top="0.39370078740157483" bottom="0.39370078740157483" header="0.51181102362204722" footer="0.31496062992125984"/>
  <pageSetup paperSize="9" firstPageNumber="0" orientation="portrait" r:id="rId1"/>
  <headerFooter>
    <oddFooter>&amp;C&amp;P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2"/>
  <sheetViews>
    <sheetView workbookViewId="0">
      <selection activeCell="G23" sqref="G23"/>
    </sheetView>
  </sheetViews>
  <sheetFormatPr defaultRowHeight="12.75" x14ac:dyDescent="0.2"/>
  <cols>
    <col min="3" max="3" width="29.1640625" customWidth="1"/>
    <col min="4" max="4" width="0" hidden="1" customWidth="1"/>
    <col min="5" max="5" width="30.83203125" customWidth="1"/>
    <col min="8" max="8" width="19.83203125" customWidth="1"/>
    <col min="10" max="10" width="12.6640625" bestFit="1" customWidth="1"/>
    <col min="12" max="12" width="12.6640625" bestFit="1" customWidth="1"/>
  </cols>
  <sheetData>
    <row r="2" spans="1:12" ht="40.5" customHeight="1" x14ac:dyDescent="0.2">
      <c r="A2" s="75" t="s">
        <v>42</v>
      </c>
      <c r="B2" s="75"/>
      <c r="C2" s="75"/>
      <c r="E2" s="69"/>
    </row>
    <row r="3" spans="1:12" ht="111" customHeight="1" x14ac:dyDescent="0.2">
      <c r="A3" s="2" t="s">
        <v>1</v>
      </c>
      <c r="B3" s="2" t="s">
        <v>43</v>
      </c>
      <c r="C3" s="2" t="s">
        <v>44</v>
      </c>
      <c r="D3" s="18" t="s">
        <v>35</v>
      </c>
      <c r="E3" s="2" t="s">
        <v>95</v>
      </c>
    </row>
    <row r="4" spans="1:12" ht="18.95" customHeight="1" x14ac:dyDescent="0.2">
      <c r="A4" s="2" t="s">
        <v>9</v>
      </c>
      <c r="B4" s="2" t="s">
        <v>10</v>
      </c>
      <c r="C4" s="2" t="s">
        <v>28</v>
      </c>
      <c r="D4" s="13"/>
      <c r="E4" s="2" t="s">
        <v>11</v>
      </c>
    </row>
    <row r="5" spans="1:12" ht="53.25" customHeight="1" x14ac:dyDescent="0.2">
      <c r="A5" s="2" t="s">
        <v>36</v>
      </c>
      <c r="B5" s="2" t="s">
        <v>45</v>
      </c>
      <c r="C5" s="8" t="s">
        <v>37</v>
      </c>
      <c r="D5" s="21">
        <v>31480.87</v>
      </c>
      <c r="E5" s="68">
        <f>H5*0.05</f>
        <v>492593.45500000002</v>
      </c>
      <c r="H5" s="68">
        <v>9851869.0999999996</v>
      </c>
      <c r="J5" s="26"/>
    </row>
    <row r="6" spans="1:12" ht="15" customHeight="1" x14ac:dyDescent="0.2">
      <c r="A6" s="2" t="s">
        <v>40</v>
      </c>
      <c r="B6" s="2">
        <v>212</v>
      </c>
      <c r="C6" s="8" t="s">
        <v>39</v>
      </c>
      <c r="D6" s="21"/>
      <c r="E6" s="68">
        <v>0</v>
      </c>
      <c r="H6" s="68">
        <v>112600</v>
      </c>
    </row>
    <row r="7" spans="1:12" ht="15.2" customHeight="1" x14ac:dyDescent="0.2">
      <c r="A7" s="2" t="s">
        <v>48</v>
      </c>
      <c r="B7" s="2" t="s">
        <v>49</v>
      </c>
      <c r="C7" s="8" t="s">
        <v>50</v>
      </c>
      <c r="D7" s="21">
        <v>989.01</v>
      </c>
      <c r="E7" s="68">
        <v>0</v>
      </c>
      <c r="H7" s="68">
        <v>96000</v>
      </c>
    </row>
    <row r="8" spans="1:12" ht="15.2" customHeight="1" x14ac:dyDescent="0.2">
      <c r="A8" s="2" t="s">
        <v>51</v>
      </c>
      <c r="B8" s="2" t="s">
        <v>52</v>
      </c>
      <c r="C8" s="8" t="s">
        <v>53</v>
      </c>
      <c r="D8" s="21">
        <v>2967.03</v>
      </c>
      <c r="E8" s="68">
        <v>0</v>
      </c>
      <c r="H8" s="68">
        <v>150000</v>
      </c>
    </row>
    <row r="9" spans="1:12" ht="15.2" customHeight="1" x14ac:dyDescent="0.2">
      <c r="A9" s="2" t="s">
        <v>54</v>
      </c>
      <c r="B9" s="2" t="s">
        <v>55</v>
      </c>
      <c r="C9" s="8" t="s">
        <v>56</v>
      </c>
      <c r="D9" s="21">
        <v>15949.81</v>
      </c>
      <c r="E9" s="68">
        <f>H9*0.05</f>
        <v>175402.845</v>
      </c>
      <c r="H9" s="68">
        <v>3508056.9</v>
      </c>
    </row>
    <row r="10" spans="1:12" ht="15.2" customHeight="1" x14ac:dyDescent="0.2">
      <c r="A10" s="2">
        <v>6</v>
      </c>
      <c r="B10" s="2">
        <v>223</v>
      </c>
      <c r="C10" s="8" t="s">
        <v>57</v>
      </c>
      <c r="D10" s="21">
        <v>801.08</v>
      </c>
      <c r="E10" s="68">
        <f>H10*0.05</f>
        <v>10197.357000000002</v>
      </c>
      <c r="H10" s="68">
        <v>203947.14</v>
      </c>
    </row>
    <row r="11" spans="1:12" ht="15.2" customHeight="1" x14ac:dyDescent="0.2">
      <c r="A11" s="2">
        <v>7</v>
      </c>
      <c r="B11" s="2">
        <v>223</v>
      </c>
      <c r="C11" s="8" t="s">
        <v>58</v>
      </c>
      <c r="D11" s="21">
        <v>198.18</v>
      </c>
      <c r="E11" s="68">
        <f>H11*0.05</f>
        <v>9027.4470000000001</v>
      </c>
      <c r="H11" s="68">
        <v>180548.94</v>
      </c>
    </row>
    <row r="12" spans="1:12" ht="15.2" customHeight="1" x14ac:dyDescent="0.2">
      <c r="A12" s="2">
        <v>8</v>
      </c>
      <c r="B12" s="2">
        <v>223</v>
      </c>
      <c r="C12" s="8" t="s">
        <v>59</v>
      </c>
      <c r="D12" s="21">
        <v>3930.05</v>
      </c>
      <c r="E12" s="68">
        <f>H12*0.05</f>
        <v>79575.342500000013</v>
      </c>
      <c r="H12" s="68">
        <v>1591506.85</v>
      </c>
    </row>
    <row r="13" spans="1:12" ht="15.2" customHeight="1" x14ac:dyDescent="0.2">
      <c r="A13" s="2">
        <v>9</v>
      </c>
      <c r="B13" s="2" t="s">
        <v>60</v>
      </c>
      <c r="C13" s="8" t="s">
        <v>61</v>
      </c>
      <c r="D13" s="21">
        <v>5853.17</v>
      </c>
      <c r="E13" s="68">
        <v>0</v>
      </c>
      <c r="H13" s="68">
        <v>1286490.73</v>
      </c>
    </row>
    <row r="14" spans="1:12" ht="15.2" customHeight="1" x14ac:dyDescent="0.2">
      <c r="A14" s="2">
        <v>10</v>
      </c>
      <c r="B14" s="2" t="s">
        <v>62</v>
      </c>
      <c r="C14" s="8" t="s">
        <v>63</v>
      </c>
      <c r="D14" s="21">
        <v>2448.56</v>
      </c>
      <c r="E14" s="68">
        <v>0</v>
      </c>
      <c r="H14" s="68">
        <v>545176.35</v>
      </c>
    </row>
    <row r="15" spans="1:12" ht="15.2" customHeight="1" x14ac:dyDescent="0.2">
      <c r="A15" s="2">
        <v>11</v>
      </c>
      <c r="B15" s="2">
        <v>310</v>
      </c>
      <c r="C15" s="8" t="s">
        <v>97</v>
      </c>
      <c r="D15" s="21"/>
      <c r="E15" s="68">
        <v>0</v>
      </c>
      <c r="H15" s="68">
        <v>168944.96</v>
      </c>
      <c r="J15" s="26"/>
    </row>
    <row r="16" spans="1:12" ht="15.2" customHeight="1" x14ac:dyDescent="0.2">
      <c r="A16" s="2">
        <v>12</v>
      </c>
      <c r="B16" s="2">
        <v>340</v>
      </c>
      <c r="C16" s="8" t="s">
        <v>81</v>
      </c>
      <c r="D16" s="21">
        <v>2448.56</v>
      </c>
      <c r="E16" s="68">
        <v>0</v>
      </c>
      <c r="H16" s="68">
        <v>64981.86</v>
      </c>
      <c r="J16" s="26"/>
      <c r="L16" s="26"/>
    </row>
    <row r="17" spans="1:10" ht="14.45" customHeight="1" x14ac:dyDescent="0.2">
      <c r="A17" s="83" t="s">
        <v>64</v>
      </c>
      <c r="B17" s="84"/>
      <c r="C17" s="85"/>
      <c r="D17" s="13"/>
      <c r="E17" s="27">
        <f>E5+E6+E7+E8+E9+E10+E11+E12+E13+E14+E15+E16</f>
        <v>766796.44650000008</v>
      </c>
      <c r="H17" s="68" t="s">
        <v>76</v>
      </c>
    </row>
    <row r="18" spans="1:10" x14ac:dyDescent="0.2">
      <c r="E18" s="26" t="s">
        <v>76</v>
      </c>
    </row>
    <row r="19" spans="1:10" ht="12.75" customHeight="1" x14ac:dyDescent="0.2">
      <c r="B19" s="76" t="s">
        <v>77</v>
      </c>
      <c r="C19" s="76"/>
      <c r="D19" s="76"/>
      <c r="E19" s="76"/>
      <c r="H19" s="26">
        <f>SUM(H5:H16)</f>
        <v>17760122.830000002</v>
      </c>
      <c r="J19" s="26"/>
    </row>
    <row r="21" spans="1:10" ht="12.75" customHeight="1" x14ac:dyDescent="0.2">
      <c r="B21" s="76" t="s">
        <v>78</v>
      </c>
      <c r="C21" s="76"/>
      <c r="D21" s="76"/>
      <c r="E21" s="76"/>
    </row>
    <row r="22" spans="1:10" x14ac:dyDescent="0.2">
      <c r="F22" t="s">
        <v>100</v>
      </c>
    </row>
  </sheetData>
  <mergeCells count="4">
    <mergeCell ref="A2:C2"/>
    <mergeCell ref="A17:C17"/>
    <mergeCell ref="B19:E19"/>
    <mergeCell ref="B21:E2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1"/>
  <sheetViews>
    <sheetView workbookViewId="0">
      <selection activeCell="G24" sqref="G24"/>
    </sheetView>
  </sheetViews>
  <sheetFormatPr defaultRowHeight="12.75" x14ac:dyDescent="0.2"/>
  <cols>
    <col min="3" max="3" width="29.1640625" customWidth="1"/>
    <col min="4" max="4" width="15.1640625" hidden="1" customWidth="1"/>
    <col min="5" max="5" width="30.83203125" customWidth="1"/>
    <col min="8" max="8" width="16.5" customWidth="1"/>
    <col min="10" max="10" width="12.6640625" bestFit="1" customWidth="1"/>
    <col min="12" max="12" width="12.6640625" bestFit="1" customWidth="1"/>
  </cols>
  <sheetData>
    <row r="2" spans="1:12" ht="40.5" customHeight="1" x14ac:dyDescent="0.2">
      <c r="A2" s="75" t="s">
        <v>42</v>
      </c>
      <c r="B2" s="75"/>
      <c r="C2" s="75"/>
      <c r="E2" s="69"/>
    </row>
    <row r="3" spans="1:12" ht="111" customHeight="1" x14ac:dyDescent="0.2">
      <c r="A3" s="2" t="s">
        <v>1</v>
      </c>
      <c r="B3" s="2" t="s">
        <v>43</v>
      </c>
      <c r="C3" s="2" t="s">
        <v>44</v>
      </c>
      <c r="D3" s="18" t="s">
        <v>35</v>
      </c>
      <c r="E3" s="2" t="s">
        <v>95</v>
      </c>
    </row>
    <row r="4" spans="1:12" ht="18.95" customHeight="1" x14ac:dyDescent="0.2">
      <c r="A4" s="2" t="s">
        <v>9</v>
      </c>
      <c r="B4" s="2" t="s">
        <v>10</v>
      </c>
      <c r="C4" s="2" t="s">
        <v>28</v>
      </c>
      <c r="D4" s="13"/>
      <c r="E4" s="2" t="s">
        <v>11</v>
      </c>
    </row>
    <row r="5" spans="1:12" ht="53.25" customHeight="1" x14ac:dyDescent="0.2">
      <c r="A5" s="2" t="s">
        <v>36</v>
      </c>
      <c r="B5" s="2" t="s">
        <v>45</v>
      </c>
      <c r="C5" s="8" t="s">
        <v>37</v>
      </c>
      <c r="D5" s="21">
        <v>31480.87</v>
      </c>
      <c r="E5" s="68">
        <f>H5*0.06</f>
        <v>591112.14599999995</v>
      </c>
      <c r="H5" s="68">
        <v>9851869.0999999996</v>
      </c>
      <c r="J5" s="26"/>
    </row>
    <row r="6" spans="1:12" ht="15" customHeight="1" x14ac:dyDescent="0.2">
      <c r="A6" s="2" t="s">
        <v>40</v>
      </c>
      <c r="B6" s="2">
        <v>212</v>
      </c>
      <c r="C6" s="8" t="s">
        <v>39</v>
      </c>
      <c r="D6" s="21"/>
      <c r="E6" s="68">
        <v>0</v>
      </c>
      <c r="H6" s="68">
        <v>112600</v>
      </c>
    </row>
    <row r="7" spans="1:12" ht="15.2" customHeight="1" x14ac:dyDescent="0.2">
      <c r="A7" s="2" t="s">
        <v>48</v>
      </c>
      <c r="B7" s="2" t="s">
        <v>49</v>
      </c>
      <c r="C7" s="8" t="s">
        <v>50</v>
      </c>
      <c r="D7" s="21">
        <v>989.01</v>
      </c>
      <c r="E7" s="68">
        <v>0</v>
      </c>
      <c r="H7" s="68">
        <v>96000</v>
      </c>
    </row>
    <row r="8" spans="1:12" ht="15.2" customHeight="1" x14ac:dyDescent="0.2">
      <c r="A8" s="2" t="s">
        <v>51</v>
      </c>
      <c r="B8" s="2" t="s">
        <v>52</v>
      </c>
      <c r="C8" s="8" t="s">
        <v>53</v>
      </c>
      <c r="D8" s="21">
        <v>2967.03</v>
      </c>
      <c r="E8" s="68">
        <v>0</v>
      </c>
      <c r="H8" s="68">
        <v>150000</v>
      </c>
    </row>
    <row r="9" spans="1:12" ht="15.2" customHeight="1" x14ac:dyDescent="0.2">
      <c r="A9" s="2" t="s">
        <v>54</v>
      </c>
      <c r="B9" s="2" t="s">
        <v>55</v>
      </c>
      <c r="C9" s="8" t="s">
        <v>56</v>
      </c>
      <c r="D9" s="21">
        <v>15949.81</v>
      </c>
      <c r="E9" s="68">
        <f>H9*0.06</f>
        <v>210483.41399999999</v>
      </c>
      <c r="H9" s="68">
        <v>3508056.9</v>
      </c>
    </row>
    <row r="10" spans="1:12" ht="15.2" customHeight="1" x14ac:dyDescent="0.2">
      <c r="A10" s="2">
        <v>6</v>
      </c>
      <c r="B10" s="2">
        <v>223</v>
      </c>
      <c r="C10" s="8" t="s">
        <v>57</v>
      </c>
      <c r="D10" s="21">
        <v>801.08</v>
      </c>
      <c r="E10" s="68">
        <f>H10*0.06</f>
        <v>12236.8284</v>
      </c>
      <c r="H10" s="68">
        <v>203947.14</v>
      </c>
    </row>
    <row r="11" spans="1:12" ht="15.2" customHeight="1" x14ac:dyDescent="0.2">
      <c r="A11" s="2">
        <v>7</v>
      </c>
      <c r="B11" s="2">
        <v>223</v>
      </c>
      <c r="C11" s="8" t="s">
        <v>58</v>
      </c>
      <c r="D11" s="21">
        <v>198.18</v>
      </c>
      <c r="E11" s="68">
        <f>H11*0.06</f>
        <v>10832.936400000001</v>
      </c>
      <c r="H11" s="68">
        <v>180548.94</v>
      </c>
    </row>
    <row r="12" spans="1:12" ht="15.2" customHeight="1" x14ac:dyDescent="0.2">
      <c r="A12" s="2">
        <v>8</v>
      </c>
      <c r="B12" s="2">
        <v>223</v>
      </c>
      <c r="C12" s="8" t="s">
        <v>59</v>
      </c>
      <c r="D12" s="21">
        <v>3930.05</v>
      </c>
      <c r="E12" s="68">
        <f>H12*0.06</f>
        <v>95490.411000000007</v>
      </c>
      <c r="H12" s="68">
        <v>1591506.85</v>
      </c>
    </row>
    <row r="13" spans="1:12" ht="15.2" customHeight="1" x14ac:dyDescent="0.2">
      <c r="A13" s="2">
        <v>9</v>
      </c>
      <c r="B13" s="2" t="s">
        <v>60</v>
      </c>
      <c r="C13" s="8" t="s">
        <v>61</v>
      </c>
      <c r="D13" s="21">
        <v>5853.17</v>
      </c>
      <c r="E13" s="68">
        <v>0</v>
      </c>
      <c r="H13" s="68">
        <v>1286490.73</v>
      </c>
    </row>
    <row r="14" spans="1:12" ht="15.2" customHeight="1" x14ac:dyDescent="0.2">
      <c r="A14" s="2">
        <v>10</v>
      </c>
      <c r="B14" s="2" t="s">
        <v>62</v>
      </c>
      <c r="C14" s="8" t="s">
        <v>63</v>
      </c>
      <c r="D14" s="21">
        <v>2448.56</v>
      </c>
      <c r="E14" s="68">
        <v>0</v>
      </c>
      <c r="H14" s="68">
        <v>545176.35</v>
      </c>
    </row>
    <row r="15" spans="1:12" ht="15.2" customHeight="1" x14ac:dyDescent="0.2">
      <c r="A15" s="2">
        <v>11</v>
      </c>
      <c r="B15" s="2">
        <v>310</v>
      </c>
      <c r="C15" s="8" t="s">
        <v>97</v>
      </c>
      <c r="D15" s="21"/>
      <c r="E15" s="68">
        <v>0</v>
      </c>
      <c r="H15" s="68">
        <v>168944.96</v>
      </c>
      <c r="J15" s="26"/>
    </row>
    <row r="16" spans="1:12" ht="15.2" customHeight="1" x14ac:dyDescent="0.2">
      <c r="A16" s="2">
        <v>12</v>
      </c>
      <c r="B16" s="2">
        <v>340</v>
      </c>
      <c r="C16" s="8" t="s">
        <v>81</v>
      </c>
      <c r="D16" s="21">
        <v>2448.56</v>
      </c>
      <c r="E16" s="68">
        <v>0</v>
      </c>
      <c r="H16" s="68">
        <v>64981.86</v>
      </c>
      <c r="J16" s="26"/>
      <c r="L16" s="26"/>
    </row>
    <row r="17" spans="1:10" ht="14.45" customHeight="1" x14ac:dyDescent="0.2">
      <c r="A17" s="83" t="s">
        <v>64</v>
      </c>
      <c r="B17" s="84"/>
      <c r="C17" s="85"/>
      <c r="D17" s="13"/>
      <c r="E17" s="27">
        <f>E5+E6+E7+E8+E9+E10+E11+E12+E13+E14+E15+E16</f>
        <v>920155.73579999991</v>
      </c>
      <c r="H17" s="68" t="s">
        <v>76</v>
      </c>
    </row>
    <row r="18" spans="1:10" x14ac:dyDescent="0.2">
      <c r="E18" s="26" t="s">
        <v>76</v>
      </c>
    </row>
    <row r="19" spans="1:10" ht="12.75" customHeight="1" x14ac:dyDescent="0.2">
      <c r="B19" s="76" t="s">
        <v>77</v>
      </c>
      <c r="C19" s="76"/>
      <c r="D19" s="76"/>
      <c r="E19" s="76"/>
      <c r="H19" s="26">
        <f>SUM(H5:H16)</f>
        <v>17760122.830000002</v>
      </c>
      <c r="J19" s="26"/>
    </row>
    <row r="21" spans="1:10" ht="12.75" customHeight="1" x14ac:dyDescent="0.2">
      <c r="B21" s="76" t="s">
        <v>78</v>
      </c>
      <c r="C21" s="76"/>
      <c r="D21" s="76"/>
      <c r="E21" s="76"/>
    </row>
  </sheetData>
  <mergeCells count="4">
    <mergeCell ref="A2:C2"/>
    <mergeCell ref="A17:C17"/>
    <mergeCell ref="B19:E19"/>
    <mergeCell ref="B21:E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activeCell="E33" sqref="E33"/>
    </sheetView>
  </sheetViews>
  <sheetFormatPr defaultRowHeight="12.75" x14ac:dyDescent="0.2"/>
  <cols>
    <col min="1" max="1" width="6.1640625"/>
    <col min="2" max="2" width="61.5"/>
    <col min="3" max="4" width="0" hidden="1" customWidth="1"/>
    <col min="5" max="5" width="29" customWidth="1"/>
    <col min="6" max="8" width="8.6640625"/>
    <col min="9" max="9" width="11.6640625" bestFit="1" customWidth="1"/>
    <col min="10" max="1021" width="8.6640625"/>
  </cols>
  <sheetData>
    <row r="1" spans="1:5" x14ac:dyDescent="0.2">
      <c r="A1" s="15"/>
    </row>
    <row r="2" spans="1:5" ht="28.7" customHeight="1" x14ac:dyDescent="0.2">
      <c r="A2" s="77" t="s">
        <v>33</v>
      </c>
      <c r="B2" s="77"/>
      <c r="C2" s="77"/>
      <c r="E2" s="16"/>
    </row>
    <row r="3" spans="1:5" ht="79.150000000000006" customHeight="1" x14ac:dyDescent="0.2">
      <c r="A3" s="5"/>
      <c r="B3" s="17" t="s">
        <v>34</v>
      </c>
      <c r="D3" s="18" t="s">
        <v>35</v>
      </c>
      <c r="E3" s="2" t="s">
        <v>101</v>
      </c>
    </row>
    <row r="4" spans="1:5" ht="21.4" customHeight="1" x14ac:dyDescent="0.2">
      <c r="A4" s="5" t="s">
        <v>9</v>
      </c>
      <c r="B4" s="5" t="s">
        <v>10</v>
      </c>
      <c r="D4" s="13"/>
      <c r="E4" s="5" t="s">
        <v>28</v>
      </c>
    </row>
    <row r="5" spans="1:5" ht="42.75" customHeight="1" x14ac:dyDescent="0.2">
      <c r="A5" s="2" t="s">
        <v>36</v>
      </c>
      <c r="B5" s="19" t="s">
        <v>93</v>
      </c>
      <c r="D5" s="13"/>
      <c r="E5" s="11"/>
    </row>
    <row r="6" spans="1:5" ht="41.25" customHeight="1" x14ac:dyDescent="0.2">
      <c r="A6" s="12" t="s">
        <v>16</v>
      </c>
      <c r="B6" s="13" t="s">
        <v>92</v>
      </c>
      <c r="D6" s="13"/>
      <c r="E6" s="13"/>
    </row>
    <row r="7" spans="1:5" ht="28.9" customHeight="1" x14ac:dyDescent="0.2">
      <c r="A7" s="12">
        <v>211</v>
      </c>
      <c r="B7" s="8" t="s">
        <v>74</v>
      </c>
      <c r="D7" s="21">
        <v>69941.7</v>
      </c>
      <c r="E7" s="62">
        <f>2185091.4*1.302</f>
        <v>2844989.0027999999</v>
      </c>
    </row>
    <row r="8" spans="1:5" ht="28.9" customHeight="1" x14ac:dyDescent="0.2">
      <c r="A8" s="12">
        <v>212</v>
      </c>
      <c r="B8" s="8" t="s">
        <v>39</v>
      </c>
      <c r="D8" s="21"/>
      <c r="E8" s="62">
        <v>34720.67</v>
      </c>
    </row>
    <row r="9" spans="1:5" ht="28.9" customHeight="1" x14ac:dyDescent="0.2">
      <c r="A9" s="12">
        <v>221</v>
      </c>
      <c r="B9" s="8" t="s">
        <v>50</v>
      </c>
      <c r="D9" s="21"/>
      <c r="E9" s="62">
        <v>33000</v>
      </c>
    </row>
    <row r="10" spans="1:5" ht="28.9" customHeight="1" x14ac:dyDescent="0.2">
      <c r="A10" s="12">
        <v>222</v>
      </c>
      <c r="B10" s="8" t="s">
        <v>53</v>
      </c>
      <c r="D10" s="21"/>
      <c r="E10" s="62">
        <v>50000</v>
      </c>
    </row>
    <row r="11" spans="1:5" ht="20.25" customHeight="1" x14ac:dyDescent="0.2">
      <c r="A11" s="13">
        <v>340</v>
      </c>
      <c r="B11" s="20" t="s">
        <v>38</v>
      </c>
      <c r="D11" s="21">
        <v>54.36</v>
      </c>
      <c r="E11" s="63">
        <v>537500</v>
      </c>
    </row>
    <row r="12" spans="1:5" ht="20.25" customHeight="1" x14ac:dyDescent="0.2">
      <c r="A12" s="13">
        <v>225</v>
      </c>
      <c r="B12" s="20" t="s">
        <v>63</v>
      </c>
      <c r="D12" s="21"/>
      <c r="E12" s="63">
        <v>308087.48</v>
      </c>
    </row>
    <row r="13" spans="1:5" ht="27" customHeight="1" x14ac:dyDescent="0.2">
      <c r="A13" s="13">
        <v>310</v>
      </c>
      <c r="B13" s="20" t="s">
        <v>99</v>
      </c>
      <c r="D13" s="21"/>
      <c r="E13" s="63">
        <v>98890</v>
      </c>
    </row>
    <row r="14" spans="1:5" ht="24.75" customHeight="1" x14ac:dyDescent="0.2">
      <c r="A14" s="13"/>
      <c r="B14" s="20"/>
      <c r="D14" s="21"/>
      <c r="E14" s="63">
        <f>SUM(E7:E13)</f>
        <v>3907187.1527999998</v>
      </c>
    </row>
    <row r="15" spans="1:5" ht="52.5" customHeight="1" x14ac:dyDescent="0.2">
      <c r="A15" s="2" t="s">
        <v>40</v>
      </c>
      <c r="B15" s="19" t="s">
        <v>85</v>
      </c>
      <c r="D15" s="21"/>
      <c r="E15" s="64"/>
    </row>
    <row r="16" spans="1:5" ht="42.75" customHeight="1" x14ac:dyDescent="0.2">
      <c r="A16" s="37" t="s">
        <v>90</v>
      </c>
      <c r="B16" s="13" t="s">
        <v>84</v>
      </c>
      <c r="D16" s="21"/>
      <c r="E16" s="62"/>
    </row>
    <row r="17" spans="1:9" ht="15.95" customHeight="1" x14ac:dyDescent="0.2">
      <c r="A17" s="13">
        <v>211</v>
      </c>
      <c r="B17" s="8" t="s">
        <v>73</v>
      </c>
      <c r="D17" s="21">
        <v>68848.86</v>
      </c>
      <c r="E17" s="63">
        <f>746441.62*1.302</f>
        <v>971866.98924000002</v>
      </c>
      <c r="I17" s="26" t="s">
        <v>76</v>
      </c>
    </row>
    <row r="18" spans="1:9" ht="15.95" customHeight="1" x14ac:dyDescent="0.2">
      <c r="A18" s="13">
        <v>222</v>
      </c>
      <c r="B18" s="8" t="s">
        <v>53</v>
      </c>
      <c r="D18" s="21"/>
      <c r="E18" s="63">
        <v>136400</v>
      </c>
      <c r="I18" s="26"/>
    </row>
    <row r="19" spans="1:9" ht="15.95" customHeight="1" x14ac:dyDescent="0.2">
      <c r="A19" s="13">
        <v>296</v>
      </c>
      <c r="B19" s="20" t="s">
        <v>67</v>
      </c>
      <c r="D19" s="21">
        <v>109.38</v>
      </c>
      <c r="E19" s="63">
        <v>205484</v>
      </c>
    </row>
    <row r="20" spans="1:9" ht="15.95" customHeight="1" x14ac:dyDescent="0.2">
      <c r="A20" s="13">
        <v>340</v>
      </c>
      <c r="B20" s="20" t="s">
        <v>38</v>
      </c>
      <c r="D20" s="21">
        <v>1148.94</v>
      </c>
      <c r="E20" s="63">
        <v>0</v>
      </c>
    </row>
    <row r="21" spans="1:9" ht="15.95" customHeight="1" x14ac:dyDescent="0.2">
      <c r="A21" s="13"/>
      <c r="B21" s="20"/>
      <c r="D21" s="21"/>
      <c r="E21" s="63">
        <f>SUM(E17:E20)</f>
        <v>1313750.98924</v>
      </c>
    </row>
    <row r="22" spans="1:9" ht="71.25" x14ac:dyDescent="0.2">
      <c r="A22" s="5">
        <v>3</v>
      </c>
      <c r="B22" s="19" t="s">
        <v>89</v>
      </c>
      <c r="C22" s="11"/>
      <c r="E22" s="65" t="s">
        <v>76</v>
      </c>
      <c r="I22" t="s">
        <v>76</v>
      </c>
    </row>
    <row r="23" spans="1:9" ht="54" customHeight="1" x14ac:dyDescent="0.2">
      <c r="A23" s="44" t="s">
        <v>87</v>
      </c>
      <c r="B23" s="45" t="s">
        <v>88</v>
      </c>
      <c r="C23" s="45"/>
      <c r="D23" s="41"/>
      <c r="E23" s="66"/>
      <c r="F23" s="41"/>
    </row>
    <row r="24" spans="1:9" ht="15.75" x14ac:dyDescent="0.2">
      <c r="A24" s="38">
        <v>211</v>
      </c>
      <c r="B24" s="46" t="s">
        <v>37</v>
      </c>
      <c r="C24" s="38"/>
      <c r="D24" s="38"/>
      <c r="E24" s="67">
        <f>863330.18*1.302</f>
        <v>1124055.89436</v>
      </c>
    </row>
    <row r="25" spans="1:9" ht="16.5" customHeight="1" x14ac:dyDescent="0.2">
      <c r="A25" s="38">
        <v>221</v>
      </c>
      <c r="B25" s="47" t="s">
        <v>50</v>
      </c>
      <c r="C25" s="42"/>
      <c r="D25" s="42"/>
      <c r="E25" s="62">
        <v>12000</v>
      </c>
      <c r="F25" s="41"/>
    </row>
    <row r="26" spans="1:9" ht="15.75" x14ac:dyDescent="0.2">
      <c r="A26" s="38">
        <v>296</v>
      </c>
      <c r="B26" s="48" t="s">
        <v>67</v>
      </c>
      <c r="C26" s="38"/>
      <c r="D26" s="38"/>
      <c r="E26" s="67">
        <v>97421.8</v>
      </c>
    </row>
    <row r="27" spans="1:9" ht="15.75" x14ac:dyDescent="0.2">
      <c r="A27" s="38">
        <v>310</v>
      </c>
      <c r="B27" s="48" t="s">
        <v>96</v>
      </c>
      <c r="C27" s="38"/>
      <c r="D27" s="38"/>
      <c r="E27" s="67">
        <v>152406</v>
      </c>
    </row>
    <row r="28" spans="1:9" ht="15.75" x14ac:dyDescent="0.2">
      <c r="A28" s="38">
        <v>340</v>
      </c>
      <c r="B28" s="48" t="s">
        <v>94</v>
      </c>
      <c r="C28" s="38"/>
      <c r="D28" s="38"/>
      <c r="E28" s="67">
        <v>38172.199999999997</v>
      </c>
    </row>
    <row r="29" spans="1:9" ht="15.75" x14ac:dyDescent="0.2">
      <c r="A29" s="38"/>
      <c r="B29" s="38"/>
      <c r="C29" s="38"/>
      <c r="D29" s="38"/>
      <c r="E29" s="67">
        <f>E28+E26+E25+E24+E27</f>
        <v>1424055.89436</v>
      </c>
    </row>
    <row r="31" spans="1:9" x14ac:dyDescent="0.2">
      <c r="E31" s="59" t="s">
        <v>76</v>
      </c>
    </row>
    <row r="32" spans="1:9" x14ac:dyDescent="0.2">
      <c r="E32" s="59" t="s">
        <v>76</v>
      </c>
    </row>
    <row r="33" spans="2:6" x14ac:dyDescent="0.2">
      <c r="E33" s="59" t="s">
        <v>76</v>
      </c>
    </row>
    <row r="38" spans="2:6" x14ac:dyDescent="0.2">
      <c r="B38" s="76" t="s">
        <v>77</v>
      </c>
      <c r="C38" s="76"/>
      <c r="D38" s="76"/>
      <c r="E38" s="76"/>
      <c r="F38" s="76"/>
    </row>
    <row r="40" spans="2:6" x14ac:dyDescent="0.2">
      <c r="B40" s="76" t="s">
        <v>78</v>
      </c>
      <c r="C40" s="76"/>
      <c r="D40" s="76"/>
      <c r="E40" s="76"/>
      <c r="F40" s="76"/>
    </row>
  </sheetData>
  <mergeCells count="3">
    <mergeCell ref="B40:F40"/>
    <mergeCell ref="A2:C2"/>
    <mergeCell ref="B38:F38"/>
  </mergeCells>
  <pageMargins left="0.39370078740157483" right="0.39370078740157483" top="0.39370078740157483" bottom="0.39370078740157483" header="0.51181102362204722" footer="0.31496062992125984"/>
  <pageSetup paperSize="9" scale="79" firstPageNumber="0" orientation="portrait" r:id="rId1"/>
  <headerFooter>
    <oddFooter>&amp;C&amp;P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2"/>
  <sheetViews>
    <sheetView view="pageBreakPreview" zoomScale="60" zoomScaleNormal="100" workbookViewId="0">
      <selection activeCell="G3" sqref="G3"/>
    </sheetView>
  </sheetViews>
  <sheetFormatPr defaultRowHeight="12.75" x14ac:dyDescent="0.2"/>
  <cols>
    <col min="2" max="2" width="6.33203125"/>
    <col min="3" max="3" width="14.33203125"/>
    <col min="4" max="4" width="35.6640625"/>
    <col min="5" max="6" width="0" hidden="1" customWidth="1"/>
    <col min="7" max="7" width="20.1640625"/>
    <col min="8" max="9" width="8.6640625"/>
    <col min="10" max="10" width="12.6640625" bestFit="1" customWidth="1"/>
    <col min="11" max="11" width="8.6640625"/>
    <col min="12" max="12" width="12.6640625" bestFit="1" customWidth="1"/>
    <col min="13" max="13" width="8.6640625"/>
    <col min="14" max="14" width="12.6640625" bestFit="1" customWidth="1"/>
    <col min="15" max="15" width="11.6640625" bestFit="1" customWidth="1"/>
    <col min="16" max="16" width="13.5" bestFit="1" customWidth="1"/>
    <col min="17" max="1022" width="8.6640625"/>
  </cols>
  <sheetData>
    <row r="2" spans="2:16" ht="40.5" customHeight="1" x14ac:dyDescent="0.2">
      <c r="B2" s="75" t="s">
        <v>42</v>
      </c>
      <c r="C2" s="75"/>
      <c r="D2" s="75"/>
      <c r="E2" s="75"/>
      <c r="G2" s="1"/>
    </row>
    <row r="3" spans="2:16" ht="111" customHeight="1" x14ac:dyDescent="0.2">
      <c r="B3" s="2" t="s">
        <v>1</v>
      </c>
      <c r="C3" s="2" t="s">
        <v>43</v>
      </c>
      <c r="D3" s="2" t="s">
        <v>44</v>
      </c>
      <c r="F3" s="18" t="s">
        <v>35</v>
      </c>
      <c r="G3" s="2" t="s">
        <v>101</v>
      </c>
    </row>
    <row r="4" spans="2:16" ht="18.95" customHeight="1" x14ac:dyDescent="0.2">
      <c r="B4" s="2" t="s">
        <v>9</v>
      </c>
      <c r="C4" s="2" t="s">
        <v>10</v>
      </c>
      <c r="D4" s="2" t="s">
        <v>28</v>
      </c>
      <c r="F4" s="13"/>
      <c r="G4" s="2" t="s">
        <v>11</v>
      </c>
    </row>
    <row r="5" spans="2:16" ht="34.5" customHeight="1" x14ac:dyDescent="0.2">
      <c r="B5" s="2" t="s">
        <v>36</v>
      </c>
      <c r="C5" s="2" t="s">
        <v>45</v>
      </c>
      <c r="D5" s="8" t="s">
        <v>37</v>
      </c>
      <c r="F5" s="21">
        <v>31480.87</v>
      </c>
      <c r="G5" s="68">
        <v>9851869.0999999996</v>
      </c>
      <c r="J5" s="26">
        <f>G5+Table1!E7+Table1!E17+Table1!E24</f>
        <v>14792780.986400001</v>
      </c>
      <c r="L5" s="26" t="e">
        <f>G5+Table1!E31</f>
        <v>#VALUE!</v>
      </c>
      <c r="N5">
        <v>4226093.05</v>
      </c>
      <c r="O5">
        <v>1950504.48</v>
      </c>
      <c r="P5" s="26">
        <f>G5-N5-O5</f>
        <v>3675271.57</v>
      </c>
    </row>
    <row r="6" spans="2:16" ht="15" hidden="1" customHeight="1" x14ac:dyDescent="0.2">
      <c r="B6" s="2" t="s">
        <v>40</v>
      </c>
      <c r="C6" s="2" t="s">
        <v>46</v>
      </c>
      <c r="D6" s="8" t="s">
        <v>47</v>
      </c>
      <c r="F6" s="21"/>
      <c r="G6" s="68">
        <v>664483.37</v>
      </c>
    </row>
    <row r="7" spans="2:16" ht="15" customHeight="1" x14ac:dyDescent="0.2">
      <c r="B7" s="2" t="s">
        <v>40</v>
      </c>
      <c r="C7" s="2">
        <v>212</v>
      </c>
      <c r="D7" s="8" t="s">
        <v>39</v>
      </c>
      <c r="F7" s="21"/>
      <c r="G7" s="68">
        <v>112600</v>
      </c>
      <c r="J7" s="26">
        <f>G7+Table1!E8</f>
        <v>147320.66999999998</v>
      </c>
    </row>
    <row r="8" spans="2:16" ht="15.2" customHeight="1" x14ac:dyDescent="0.2">
      <c r="B8" s="2" t="s">
        <v>48</v>
      </c>
      <c r="C8" s="2" t="s">
        <v>49</v>
      </c>
      <c r="D8" s="8" t="s">
        <v>50</v>
      </c>
      <c r="F8" s="21">
        <v>989.01</v>
      </c>
      <c r="G8" s="68">
        <v>96000</v>
      </c>
      <c r="J8" s="26">
        <f>G8+Table1!E9+Table1!E25</f>
        <v>141000</v>
      </c>
    </row>
    <row r="9" spans="2:16" ht="15.2" customHeight="1" x14ac:dyDescent="0.2">
      <c r="B9" s="2" t="s">
        <v>51</v>
      </c>
      <c r="C9" s="2" t="s">
        <v>52</v>
      </c>
      <c r="D9" s="8" t="s">
        <v>53</v>
      </c>
      <c r="F9" s="21">
        <v>2967.03</v>
      </c>
      <c r="G9" s="68">
        <v>150000</v>
      </c>
      <c r="J9" s="26">
        <f>G9+Table1!E18+Table1!E10</f>
        <v>336400</v>
      </c>
    </row>
    <row r="10" spans="2:16" ht="15.2" customHeight="1" x14ac:dyDescent="0.2">
      <c r="B10" s="2" t="s">
        <v>54</v>
      </c>
      <c r="C10" s="2" t="s">
        <v>55</v>
      </c>
      <c r="D10" s="8" t="s">
        <v>56</v>
      </c>
      <c r="F10" s="21">
        <v>15949.81</v>
      </c>
      <c r="G10" s="68">
        <v>3508056.9</v>
      </c>
      <c r="J10" s="26">
        <f>G10+G11+G12+G13</f>
        <v>5484059.8300000001</v>
      </c>
    </row>
    <row r="11" spans="2:16" ht="15.2" customHeight="1" x14ac:dyDescent="0.2">
      <c r="B11" s="2">
        <v>6</v>
      </c>
      <c r="C11" s="2">
        <v>223</v>
      </c>
      <c r="D11" s="8" t="s">
        <v>57</v>
      </c>
      <c r="F11" s="21">
        <v>801.08</v>
      </c>
      <c r="G11" s="68">
        <v>203947.14</v>
      </c>
    </row>
    <row r="12" spans="2:16" ht="15.2" customHeight="1" x14ac:dyDescent="0.2">
      <c r="B12" s="2">
        <v>7</v>
      </c>
      <c r="C12" s="2">
        <v>223</v>
      </c>
      <c r="D12" s="8" t="s">
        <v>58</v>
      </c>
      <c r="F12" s="21">
        <v>198.18</v>
      </c>
      <c r="G12" s="68">
        <v>180548.94</v>
      </c>
    </row>
    <row r="13" spans="2:16" ht="15.2" customHeight="1" x14ac:dyDescent="0.2">
      <c r="B13" s="2">
        <v>8</v>
      </c>
      <c r="C13" s="2">
        <v>223</v>
      </c>
      <c r="D13" s="8" t="s">
        <v>59</v>
      </c>
      <c r="F13" s="21">
        <v>3930.05</v>
      </c>
      <c r="G13" s="68">
        <v>1591506.85</v>
      </c>
    </row>
    <row r="14" spans="2:16" ht="15.2" customHeight="1" x14ac:dyDescent="0.2">
      <c r="B14" s="2">
        <v>9</v>
      </c>
      <c r="C14" s="2" t="s">
        <v>60</v>
      </c>
      <c r="D14" s="8" t="s">
        <v>61</v>
      </c>
      <c r="F14" s="21">
        <v>5853.17</v>
      </c>
      <c r="G14" s="68">
        <v>1286490.73</v>
      </c>
      <c r="J14" s="26">
        <f>G14</f>
        <v>1286490.73</v>
      </c>
    </row>
    <row r="15" spans="2:16" ht="15.2" customHeight="1" x14ac:dyDescent="0.2">
      <c r="B15" s="2">
        <v>10</v>
      </c>
      <c r="C15" s="2" t="s">
        <v>62</v>
      </c>
      <c r="D15" s="8" t="s">
        <v>63</v>
      </c>
      <c r="F15" s="21">
        <v>2448.56</v>
      </c>
      <c r="G15" s="68">
        <v>545176.35</v>
      </c>
      <c r="J15" s="26">
        <f>G15+Table1!E12</f>
        <v>853263.83</v>
      </c>
    </row>
    <row r="16" spans="2:16" ht="15.2" customHeight="1" x14ac:dyDescent="0.2">
      <c r="B16" s="2">
        <v>11</v>
      </c>
      <c r="C16" s="2">
        <v>310</v>
      </c>
      <c r="D16" s="8" t="s">
        <v>97</v>
      </c>
      <c r="F16" s="21"/>
      <c r="G16" s="68">
        <v>168944.96</v>
      </c>
      <c r="J16" s="26">
        <f>G16+Table1!E13+Table1!E27</f>
        <v>420240.95999999996</v>
      </c>
      <c r="L16" s="26">
        <v>255084</v>
      </c>
    </row>
    <row r="17" spans="2:14" ht="15.2" customHeight="1" x14ac:dyDescent="0.2">
      <c r="B17" s="2">
        <v>12</v>
      </c>
      <c r="C17" s="2">
        <v>340</v>
      </c>
      <c r="D17" s="8" t="s">
        <v>81</v>
      </c>
      <c r="F17" s="21">
        <v>2448.56</v>
      </c>
      <c r="G17" s="68">
        <v>64981.86</v>
      </c>
      <c r="J17" s="26">
        <f>G17+Table1!E11+Table1!E28</f>
        <v>640654.05999999994</v>
      </c>
      <c r="L17" s="26">
        <f>SUM(J5:J17)</f>
        <v>24102211.066399999</v>
      </c>
      <c r="N17" s="26">
        <f>L16+L17+Table3!F6</f>
        <v>24475937.796399999</v>
      </c>
    </row>
    <row r="18" spans="2:14" ht="14.45" customHeight="1" x14ac:dyDescent="0.2">
      <c r="B18" s="78" t="s">
        <v>64</v>
      </c>
      <c r="C18" s="78"/>
      <c r="D18" s="78"/>
      <c r="F18" s="13"/>
      <c r="G18" s="27">
        <f>G5+G7+G8+G9+G10+G11+G12+G13+G14+G15+G16+G17</f>
        <v>17760122.830000002</v>
      </c>
      <c r="J18" s="26">
        <f>G18+Table1!E14+Table1!E21+Table1!E29+Table3!F6</f>
        <v>24523759.596400004</v>
      </c>
    </row>
    <row r="19" spans="2:14" x14ac:dyDescent="0.2">
      <c r="G19" s="26" t="s">
        <v>76</v>
      </c>
    </row>
    <row r="20" spans="2:14" x14ac:dyDescent="0.2">
      <c r="C20" s="76" t="s">
        <v>77</v>
      </c>
      <c r="D20" s="76"/>
      <c r="E20" s="76"/>
      <c r="F20" s="76"/>
      <c r="G20" s="76"/>
      <c r="J20" s="26">
        <f>SUM(J5:J17)+L16+Table3!F6</f>
        <v>24475937.796399999</v>
      </c>
      <c r="L20" s="26" t="e">
        <f>G18+Table1!E33+Table3!F6</f>
        <v>#VALUE!</v>
      </c>
    </row>
    <row r="22" spans="2:14" x14ac:dyDescent="0.2">
      <c r="C22" s="76" t="s">
        <v>78</v>
      </c>
      <c r="D22" s="76"/>
      <c r="E22" s="76"/>
      <c r="F22" s="76"/>
      <c r="G22" s="76"/>
    </row>
  </sheetData>
  <mergeCells count="4">
    <mergeCell ref="B2:E2"/>
    <mergeCell ref="B18:D18"/>
    <mergeCell ref="C20:G20"/>
    <mergeCell ref="C22:G22"/>
  </mergeCells>
  <pageMargins left="0.39370078740157483" right="0.39370078740157483" top="0.39370078740157483" bottom="0.39370078740157483" header="0.51181102362204722" footer="0.31496062992125984"/>
  <pageSetup paperSize="9" firstPageNumber="0" orientation="portrait" r:id="rId1"/>
  <headerFooter>
    <oddFooter>&amp;C&amp;P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zoomScale="60" zoomScaleNormal="100" workbookViewId="0">
      <selection activeCell="C22" sqref="C22"/>
    </sheetView>
  </sheetViews>
  <sheetFormatPr defaultRowHeight="12.75" x14ac:dyDescent="0.2"/>
  <cols>
    <col min="1" max="1" width="6.33203125"/>
    <col min="2" max="2" width="20.83203125" customWidth="1"/>
    <col min="3" max="3" width="67.5" customWidth="1"/>
    <col min="4" max="5" width="0" hidden="1"/>
    <col min="6" max="6" width="35.6640625" customWidth="1"/>
    <col min="7" max="1021" width="8.6640625"/>
  </cols>
  <sheetData>
    <row r="1" spans="1:6" x14ac:dyDescent="0.2">
      <c r="A1" s="23"/>
    </row>
    <row r="2" spans="1:6" ht="39.75" customHeight="1" x14ac:dyDescent="0.2">
      <c r="A2" s="75" t="s">
        <v>65</v>
      </c>
      <c r="B2" s="75"/>
      <c r="C2" s="75"/>
      <c r="D2" s="75"/>
      <c r="F2" s="1"/>
    </row>
    <row r="3" spans="1:6" ht="84.95" customHeight="1" x14ac:dyDescent="0.2">
      <c r="A3" s="2" t="s">
        <v>1</v>
      </c>
      <c r="B3" s="2" t="s">
        <v>43</v>
      </c>
      <c r="C3" s="2" t="s">
        <v>44</v>
      </c>
      <c r="E3" s="18" t="s">
        <v>35</v>
      </c>
      <c r="F3" s="2" t="s">
        <v>101</v>
      </c>
    </row>
    <row r="4" spans="1:6" ht="18.75" customHeight="1" x14ac:dyDescent="0.2">
      <c r="A4" s="2" t="s">
        <v>9</v>
      </c>
      <c r="B4" s="2" t="s">
        <v>10</v>
      </c>
      <c r="C4" s="2" t="s">
        <v>28</v>
      </c>
      <c r="E4" s="13"/>
      <c r="F4" s="2" t="s">
        <v>11</v>
      </c>
    </row>
    <row r="5" spans="1:6" ht="30.75" customHeight="1" x14ac:dyDescent="0.2">
      <c r="A5" s="2" t="s">
        <v>36</v>
      </c>
      <c r="B5" s="2">
        <v>296</v>
      </c>
      <c r="C5" s="8" t="s">
        <v>67</v>
      </c>
      <c r="E5" s="13">
        <v>1362.64</v>
      </c>
      <c r="F5" s="9">
        <v>118642.73</v>
      </c>
    </row>
    <row r="6" spans="1:6" ht="34.5" customHeight="1" x14ac:dyDescent="0.2">
      <c r="A6" s="79" t="s">
        <v>41</v>
      </c>
      <c r="B6" s="79"/>
      <c r="C6" s="79"/>
      <c r="E6" s="13"/>
      <c r="F6" s="9">
        <f>F5</f>
        <v>118642.73</v>
      </c>
    </row>
    <row r="8" spans="1:6" ht="15.75" customHeight="1" x14ac:dyDescent="0.2">
      <c r="B8" s="86" t="s">
        <v>79</v>
      </c>
      <c r="C8" s="86"/>
      <c r="D8" s="86"/>
      <c r="E8" s="86"/>
      <c r="F8" s="86"/>
    </row>
    <row r="9" spans="1:6" x14ac:dyDescent="0.2">
      <c r="B9" s="87"/>
      <c r="C9" s="87"/>
      <c r="D9" s="87"/>
      <c r="E9" s="87"/>
      <c r="F9" s="87"/>
    </row>
    <row r="10" spans="1:6" x14ac:dyDescent="0.2">
      <c r="B10" s="86" t="s">
        <v>80</v>
      </c>
      <c r="C10" s="86"/>
      <c r="D10" s="86"/>
      <c r="E10" s="86"/>
      <c r="F10" s="86"/>
    </row>
    <row r="11" spans="1:6" x14ac:dyDescent="0.2">
      <c r="B11" s="87"/>
      <c r="C11" s="87"/>
      <c r="D11" s="87"/>
      <c r="E11" s="87"/>
      <c r="F11" s="87"/>
    </row>
  </sheetData>
  <mergeCells count="4">
    <mergeCell ref="A2:D2"/>
    <mergeCell ref="A6:C6"/>
    <mergeCell ref="B8:F8"/>
    <mergeCell ref="B10:F10"/>
  </mergeCells>
  <pageMargins left="0.39370078740157483" right="0.39370078740157483" top="0.39370078740157483" bottom="0.39370078740157483" header="0.51181102362204722" footer="0.31496062992125984"/>
  <pageSetup paperSize="9" scale="81" firstPageNumber="0" orientation="portrait" r:id="rId1"/>
  <headerFooter>
    <oddFooter>&amp;C&amp;P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Normal="100" workbookViewId="0">
      <selection activeCell="D3" sqref="D3"/>
    </sheetView>
  </sheetViews>
  <sheetFormatPr defaultRowHeight="12.75" x14ac:dyDescent="0.2"/>
  <cols>
    <col min="1" max="1" width="6.1640625"/>
    <col min="2" max="2" width="14.5"/>
    <col min="3" max="3" width="61.5"/>
    <col min="4" max="4" width="27.5"/>
    <col min="5" max="6" width="12.6640625" bestFit="1" customWidth="1"/>
    <col min="7" max="7" width="14" bestFit="1" customWidth="1"/>
    <col min="8" max="1023" width="8.6640625"/>
  </cols>
  <sheetData>
    <row r="1" spans="1:7" x14ac:dyDescent="0.2">
      <c r="A1" s="23"/>
    </row>
    <row r="2" spans="1:7" ht="26.45" customHeight="1" x14ac:dyDescent="0.2">
      <c r="A2" s="75" t="s">
        <v>68</v>
      </c>
      <c r="B2" s="75"/>
      <c r="C2" s="75"/>
      <c r="D2" s="75"/>
    </row>
    <row r="3" spans="1:7" ht="77.849999999999994" customHeight="1" x14ac:dyDescent="0.2">
      <c r="A3" s="2" t="s">
        <v>1</v>
      </c>
      <c r="B3" s="2" t="s">
        <v>43</v>
      </c>
      <c r="C3" s="2" t="s">
        <v>44</v>
      </c>
      <c r="D3" s="2" t="s">
        <v>101</v>
      </c>
    </row>
    <row r="4" spans="1:7" ht="19.7" customHeight="1" x14ac:dyDescent="0.2">
      <c r="A4" s="2" t="s">
        <v>9</v>
      </c>
      <c r="B4" s="2" t="s">
        <v>10</v>
      </c>
      <c r="C4" s="2" t="s">
        <v>28</v>
      </c>
      <c r="D4" s="2" t="s">
        <v>11</v>
      </c>
    </row>
    <row r="5" spans="1:7" ht="14.25" customHeight="1" x14ac:dyDescent="0.2">
      <c r="A5" s="5">
        <v>1</v>
      </c>
      <c r="B5" s="5" t="s">
        <v>46</v>
      </c>
      <c r="C5" s="6" t="s">
        <v>47</v>
      </c>
      <c r="D5" s="24">
        <v>3431198.05</v>
      </c>
      <c r="G5" s="26">
        <f>Table1!E7+Table1!E17+Table1!E24+Table2!G5</f>
        <v>14792780.986400001</v>
      </c>
    </row>
    <row r="6" spans="1:7" ht="14.25" customHeight="1" x14ac:dyDescent="0.2">
      <c r="A6" s="5">
        <v>2</v>
      </c>
      <c r="B6" s="5" t="s">
        <v>45</v>
      </c>
      <c r="C6" s="6" t="s">
        <v>70</v>
      </c>
      <c r="D6" s="24">
        <v>11361582.939999999</v>
      </c>
      <c r="E6" s="26" t="s">
        <v>76</v>
      </c>
    </row>
    <row r="7" spans="1:7" ht="14.25" customHeight="1" x14ac:dyDescent="0.2">
      <c r="A7" s="5">
        <v>3</v>
      </c>
      <c r="B7" s="5" t="s">
        <v>71</v>
      </c>
      <c r="C7" s="6" t="s">
        <v>39</v>
      </c>
      <c r="D7" s="24">
        <f>Table2!G7+Table1!E8</f>
        <v>147320.66999999998</v>
      </c>
    </row>
    <row r="8" spans="1:7" ht="14.25" customHeight="1" x14ac:dyDescent="0.2">
      <c r="A8" s="5">
        <v>4</v>
      </c>
      <c r="B8" s="5" t="s">
        <v>49</v>
      </c>
      <c r="C8" s="6" t="s">
        <v>50</v>
      </c>
      <c r="D8" s="24">
        <f>Table1!E25+Table2!G8+Table1!E9</f>
        <v>141000</v>
      </c>
    </row>
    <row r="9" spans="1:7" ht="14.25" customHeight="1" x14ac:dyDescent="0.2">
      <c r="A9" s="5">
        <v>5</v>
      </c>
      <c r="B9" s="5" t="s">
        <v>52</v>
      </c>
      <c r="C9" s="6" t="s">
        <v>53</v>
      </c>
      <c r="D9" s="24">
        <f>Table1!E18+Table2!G9+Table1!E10</f>
        <v>336400</v>
      </c>
    </row>
    <row r="10" spans="1:7" ht="14.25" customHeight="1" x14ac:dyDescent="0.2">
      <c r="A10" s="5">
        <v>6</v>
      </c>
      <c r="B10" s="5" t="s">
        <v>55</v>
      </c>
      <c r="C10" s="6" t="s">
        <v>72</v>
      </c>
      <c r="D10" s="24">
        <f>Table2!G10+Table2!G11+Table2!G12+Table2!G13</f>
        <v>5484059.8300000001</v>
      </c>
    </row>
    <row r="11" spans="1:7" ht="14.25" customHeight="1" x14ac:dyDescent="0.2">
      <c r="A11" s="5">
        <v>7</v>
      </c>
      <c r="B11" s="5" t="s">
        <v>60</v>
      </c>
      <c r="C11" s="6" t="s">
        <v>61</v>
      </c>
      <c r="D11" s="24">
        <f>Table2!G14</f>
        <v>1286490.73</v>
      </c>
    </row>
    <row r="12" spans="1:7" ht="14.25" customHeight="1" x14ac:dyDescent="0.2">
      <c r="A12" s="5">
        <v>8</v>
      </c>
      <c r="B12" s="5" t="s">
        <v>62</v>
      </c>
      <c r="C12" s="6" t="s">
        <v>63</v>
      </c>
      <c r="D12" s="24">
        <f>Table1!E12+Table2!G15</f>
        <v>853263.83</v>
      </c>
    </row>
    <row r="13" spans="1:7" ht="14.25" customHeight="1" x14ac:dyDescent="0.2">
      <c r="A13" s="5">
        <v>9</v>
      </c>
      <c r="B13" s="5">
        <v>290</v>
      </c>
      <c r="C13" s="6" t="s">
        <v>67</v>
      </c>
      <c r="D13" s="24">
        <f>Table1!E19+Table1!E26</f>
        <v>302905.8</v>
      </c>
    </row>
    <row r="14" spans="1:7" ht="14.25" customHeight="1" x14ac:dyDescent="0.2">
      <c r="A14" s="5">
        <v>10</v>
      </c>
      <c r="B14" s="5" t="s">
        <v>66</v>
      </c>
      <c r="C14" s="6" t="s">
        <v>67</v>
      </c>
      <c r="D14" s="9">
        <f>Table3!F6</f>
        <v>118642.73</v>
      </c>
    </row>
    <row r="15" spans="1:7" ht="14.25" customHeight="1" x14ac:dyDescent="0.2">
      <c r="A15" s="5">
        <v>11</v>
      </c>
      <c r="B15" s="5">
        <v>310</v>
      </c>
      <c r="C15" s="6" t="s">
        <v>98</v>
      </c>
      <c r="D15" s="24">
        <f>Table2!G16+Table1!E27+Table1!E13</f>
        <v>420240.95999999996</v>
      </c>
    </row>
    <row r="16" spans="1:7" ht="14.25" customHeight="1" x14ac:dyDescent="0.2">
      <c r="A16" s="5">
        <v>12</v>
      </c>
      <c r="B16" s="5" t="s">
        <v>69</v>
      </c>
      <c r="C16" s="6" t="s">
        <v>38</v>
      </c>
      <c r="D16" s="24">
        <f>Table2!G17+Table1!E11+Table1!E28</f>
        <v>640654.05999999994</v>
      </c>
      <c r="G16" s="26" t="s">
        <v>76</v>
      </c>
    </row>
    <row r="17" spans="1:6" ht="14.25" customHeight="1" x14ac:dyDescent="0.2">
      <c r="A17" s="79" t="s">
        <v>64</v>
      </c>
      <c r="B17" s="79"/>
      <c r="C17" s="79"/>
      <c r="D17" s="22">
        <f>SUM(D5:D16)</f>
        <v>24523759.599999998</v>
      </c>
      <c r="E17" t="s">
        <v>76</v>
      </c>
    </row>
    <row r="19" spans="1:6" x14ac:dyDescent="0.2">
      <c r="B19" s="76" t="s">
        <v>77</v>
      </c>
      <c r="C19" s="76"/>
      <c r="D19" s="76"/>
      <c r="E19" s="76"/>
      <c r="F19" s="76"/>
    </row>
    <row r="20" spans="1:6" x14ac:dyDescent="0.2">
      <c r="F20" s="26" t="s">
        <v>76</v>
      </c>
    </row>
    <row r="21" spans="1:6" x14ac:dyDescent="0.2">
      <c r="B21" s="76" t="s">
        <v>78</v>
      </c>
      <c r="C21" s="76"/>
      <c r="D21" s="76"/>
      <c r="E21" s="76"/>
      <c r="F21" s="76"/>
    </row>
    <row r="23" spans="1:6" x14ac:dyDescent="0.2">
      <c r="D23" s="26" t="s">
        <v>76</v>
      </c>
    </row>
  </sheetData>
  <mergeCells count="4">
    <mergeCell ref="A2:D2"/>
    <mergeCell ref="A17:C17"/>
    <mergeCell ref="B19:F19"/>
    <mergeCell ref="B21:F21"/>
  </mergeCells>
  <pageMargins left="0.39370078740157483" right="0.39370078740157483" top="0.39370078740157483" bottom="0.39370078740157483" header="0.51181102362204722" footer="0.31496062992125984"/>
  <pageSetup paperSize="9" scale="97" firstPageNumber="0" orientation="portrait" r:id="rId1"/>
  <headerFooter>
    <oddFooter>&amp;C&amp;P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3"/>
  <sheetViews>
    <sheetView zoomScaleNormal="100" workbookViewId="0">
      <selection activeCell="H26" sqref="H26"/>
    </sheetView>
  </sheetViews>
  <sheetFormatPr defaultRowHeight="12.75" x14ac:dyDescent="0.2"/>
  <cols>
    <col min="2" max="2" width="33" customWidth="1"/>
    <col min="3" max="4" width="20.5" customWidth="1"/>
    <col min="5" max="5" width="14.33203125" customWidth="1"/>
    <col min="6" max="6" width="21.83203125" customWidth="1"/>
    <col min="7" max="7" width="13.1640625" customWidth="1"/>
    <col min="8" max="8" width="19.6640625" customWidth="1"/>
    <col min="15" max="15" width="14" bestFit="1" customWidth="1"/>
  </cols>
  <sheetData>
    <row r="2" spans="1:15" ht="24" customHeight="1" x14ac:dyDescent="0.2">
      <c r="A2" s="75" t="s">
        <v>0</v>
      </c>
      <c r="B2" s="75"/>
      <c r="C2" s="75"/>
      <c r="D2" s="75"/>
      <c r="E2" s="75"/>
      <c r="F2" s="75"/>
      <c r="G2" s="75"/>
      <c r="H2" s="75"/>
    </row>
    <row r="3" spans="1:15" ht="20.25" customHeight="1" x14ac:dyDescent="0.2">
      <c r="A3" s="75" t="s">
        <v>75</v>
      </c>
      <c r="B3" s="75"/>
      <c r="C3" s="75"/>
      <c r="D3" s="75"/>
      <c r="E3" s="75"/>
      <c r="F3" s="75"/>
      <c r="G3" s="75"/>
      <c r="H3" s="75"/>
    </row>
    <row r="4" spans="1:15" ht="24" customHeight="1" x14ac:dyDescent="0.2">
      <c r="A4" s="80" t="s">
        <v>103</v>
      </c>
      <c r="B4" s="80"/>
      <c r="C4" s="80"/>
      <c r="D4" s="80"/>
      <c r="E4" s="80"/>
      <c r="F4" s="80"/>
      <c r="G4" s="80"/>
      <c r="H4" s="80"/>
    </row>
    <row r="5" spans="1:15" ht="72.2" customHeight="1" x14ac:dyDescent="0.2">
      <c r="A5" s="2" t="s">
        <v>1</v>
      </c>
      <c r="B5" s="2" t="s">
        <v>2</v>
      </c>
      <c r="C5" s="3" t="s">
        <v>3</v>
      </c>
      <c r="D5" s="3" t="s">
        <v>4</v>
      </c>
      <c r="E5" s="2" t="s">
        <v>5</v>
      </c>
      <c r="F5" s="3" t="s">
        <v>6</v>
      </c>
      <c r="G5" s="3" t="s">
        <v>7</v>
      </c>
      <c r="H5" s="3" t="s">
        <v>8</v>
      </c>
    </row>
    <row r="6" spans="1:15" ht="21" customHeight="1" x14ac:dyDescent="0.2">
      <c r="A6" s="2" t="s">
        <v>9</v>
      </c>
      <c r="B6" s="2" t="s">
        <v>10</v>
      </c>
      <c r="C6" s="2" t="s">
        <v>11</v>
      </c>
      <c r="D6" s="2" t="s">
        <v>12</v>
      </c>
      <c r="E6" s="2" t="s">
        <v>13</v>
      </c>
      <c r="F6" s="2" t="s">
        <v>14</v>
      </c>
      <c r="G6" s="33">
        <f>G8</f>
        <v>381</v>
      </c>
      <c r="H6" s="2" t="s">
        <v>15</v>
      </c>
    </row>
    <row r="7" spans="1:15" ht="105.75" customHeight="1" x14ac:dyDescent="0.2">
      <c r="A7" s="4" t="s">
        <v>9</v>
      </c>
      <c r="B7" s="19" t="s">
        <v>93</v>
      </c>
      <c r="C7" s="28">
        <f>C8</f>
        <v>3907187.1527999998</v>
      </c>
      <c r="D7" s="28">
        <f>D8</f>
        <v>16073170.647700002</v>
      </c>
      <c r="E7" s="28"/>
      <c r="F7" s="28">
        <f>F8</f>
        <v>19980357.800500002</v>
      </c>
      <c r="G7" s="28">
        <f>G8</f>
        <v>381</v>
      </c>
      <c r="H7" s="28">
        <f>H8</f>
        <v>52441.883990813651</v>
      </c>
    </row>
    <row r="8" spans="1:15" ht="78" customHeight="1" x14ac:dyDescent="0.2">
      <c r="A8" s="5" t="s">
        <v>16</v>
      </c>
      <c r="B8" s="13" t="s">
        <v>82</v>
      </c>
      <c r="C8" s="29">
        <f>Table1!E14</f>
        <v>3907187.1527999998</v>
      </c>
      <c r="D8" s="29">
        <f>'услуга 1'!E17</f>
        <v>16073170.647700002</v>
      </c>
      <c r="E8" s="29"/>
      <c r="F8" s="29">
        <f>C8+D8</f>
        <v>19980357.800500002</v>
      </c>
      <c r="G8" s="29">
        <f>Table5!C7</f>
        <v>381</v>
      </c>
      <c r="H8" s="29">
        <f>F8/G8</f>
        <v>52441.883990813651</v>
      </c>
    </row>
    <row r="9" spans="1:15" ht="34.5" customHeight="1" x14ac:dyDescent="0.2">
      <c r="A9" s="7"/>
      <c r="B9" s="6" t="s">
        <v>83</v>
      </c>
      <c r="C9" s="30" t="s">
        <v>76</v>
      </c>
      <c r="D9" s="29" t="s">
        <v>76</v>
      </c>
      <c r="E9" s="30" t="s">
        <v>17</v>
      </c>
      <c r="F9" s="29" t="s">
        <v>76</v>
      </c>
      <c r="G9" s="31">
        <f>G8</f>
        <v>381</v>
      </c>
      <c r="H9" s="30" t="s">
        <v>76</v>
      </c>
    </row>
    <row r="10" spans="1:15" ht="91.5" customHeight="1" x14ac:dyDescent="0.2">
      <c r="A10" s="4" t="s">
        <v>10</v>
      </c>
      <c r="B10" s="19" t="s">
        <v>85</v>
      </c>
      <c r="C10" s="28">
        <f>C11</f>
        <v>1313750.98924</v>
      </c>
      <c r="D10" s="28">
        <f>D11</f>
        <v>766796.44650000008</v>
      </c>
      <c r="E10" s="28"/>
      <c r="F10" s="28">
        <f>F11</f>
        <v>2080547.4357400001</v>
      </c>
      <c r="G10" s="28">
        <f>G11</f>
        <v>53</v>
      </c>
      <c r="H10" s="28">
        <f>H11</f>
        <v>39255.611995094339</v>
      </c>
    </row>
    <row r="11" spans="1:15" ht="64.5" customHeight="1" x14ac:dyDescent="0.2">
      <c r="A11" s="40" t="s">
        <v>90</v>
      </c>
      <c r="B11" s="13" t="s">
        <v>84</v>
      </c>
      <c r="C11" s="29">
        <f>Table1!E21</f>
        <v>1313750.98924</v>
      </c>
      <c r="D11" s="29">
        <f>СММ!E17</f>
        <v>766796.44650000008</v>
      </c>
      <c r="E11" s="29"/>
      <c r="F11" s="29">
        <f>C11+D11</f>
        <v>2080547.4357400001</v>
      </c>
      <c r="G11" s="29">
        <f>G12</f>
        <v>53</v>
      </c>
      <c r="H11" s="29">
        <f>F11/G11</f>
        <v>39255.611995094339</v>
      </c>
      <c r="O11" s="26" t="s">
        <v>76</v>
      </c>
    </row>
    <row r="12" spans="1:15" ht="36" customHeight="1" x14ac:dyDescent="0.2">
      <c r="A12" s="7"/>
      <c r="B12" s="6" t="s">
        <v>86</v>
      </c>
      <c r="C12" s="30" t="s">
        <v>76</v>
      </c>
      <c r="D12" s="30" t="s">
        <v>76</v>
      </c>
      <c r="E12" s="8" t="s">
        <v>17</v>
      </c>
      <c r="F12" s="30" t="s">
        <v>76</v>
      </c>
      <c r="G12" s="9">
        <v>53</v>
      </c>
      <c r="H12" s="30" t="s">
        <v>76</v>
      </c>
    </row>
    <row r="13" spans="1:15" ht="128.25" x14ac:dyDescent="0.2">
      <c r="A13" s="38">
        <v>3</v>
      </c>
      <c r="B13" s="19" t="s">
        <v>89</v>
      </c>
      <c r="C13" s="51">
        <f>C14</f>
        <v>1424055.89436</v>
      </c>
      <c r="D13" s="51">
        <f>D14</f>
        <v>920155.73579999991</v>
      </c>
      <c r="E13" s="49"/>
      <c r="F13" s="54">
        <f>F14</f>
        <v>2344211.6301600002</v>
      </c>
      <c r="G13" s="73">
        <f>G14</f>
        <v>22</v>
      </c>
      <c r="H13" s="51">
        <f>H14</f>
        <v>106555.07409818182</v>
      </c>
    </row>
    <row r="14" spans="1:15" ht="89.25" x14ac:dyDescent="0.2">
      <c r="A14" s="39" t="s">
        <v>87</v>
      </c>
      <c r="B14" s="13" t="s">
        <v>88</v>
      </c>
      <c r="C14" s="52">
        <f>Table1!E29</f>
        <v>1424055.89436</v>
      </c>
      <c r="D14" s="52">
        <f>ГТО!E17</f>
        <v>920155.73579999991</v>
      </c>
      <c r="E14" s="50"/>
      <c r="F14" s="53">
        <f>C14+D14</f>
        <v>2344211.6301600002</v>
      </c>
      <c r="G14" s="55">
        <f>Table5!C13</f>
        <v>22</v>
      </c>
      <c r="H14" s="52">
        <f>F14/G14</f>
        <v>106555.07409818182</v>
      </c>
    </row>
    <row r="15" spans="1:15" ht="30" x14ac:dyDescent="0.2">
      <c r="A15" s="38"/>
      <c r="B15" s="6" t="s">
        <v>86</v>
      </c>
      <c r="C15" s="38" t="s">
        <v>76</v>
      </c>
      <c r="D15" s="38" t="s">
        <v>76</v>
      </c>
      <c r="E15" s="38" t="s">
        <v>17</v>
      </c>
      <c r="F15" s="38" t="s">
        <v>76</v>
      </c>
      <c r="G15" s="74">
        <f>Table5!C13</f>
        <v>22</v>
      </c>
      <c r="H15" s="38" t="s">
        <v>76</v>
      </c>
    </row>
    <row r="16" spans="1:15" x14ac:dyDescent="0.2">
      <c r="C16" s="81"/>
      <c r="D16" s="76"/>
      <c r="E16" s="76"/>
      <c r="F16" s="76"/>
      <c r="G16" s="76"/>
    </row>
    <row r="17" spans="2:6" x14ac:dyDescent="0.2">
      <c r="B17" s="76" t="s">
        <v>77</v>
      </c>
      <c r="C17" s="76"/>
      <c r="D17" s="76"/>
      <c r="E17" s="76"/>
      <c r="F17" s="76"/>
    </row>
    <row r="18" spans="2:6" x14ac:dyDescent="0.2">
      <c r="F18" s="26" t="s">
        <v>76</v>
      </c>
    </row>
    <row r="19" spans="2:6" x14ac:dyDescent="0.2">
      <c r="B19" s="76" t="s">
        <v>78</v>
      </c>
      <c r="C19" s="76"/>
      <c r="D19" s="76"/>
      <c r="E19" s="76"/>
      <c r="F19" s="76"/>
    </row>
    <row r="20" spans="2:6" x14ac:dyDescent="0.2">
      <c r="F20" s="26" t="s">
        <v>76</v>
      </c>
    </row>
    <row r="21" spans="2:6" x14ac:dyDescent="0.2">
      <c r="C21" s="26"/>
      <c r="D21" s="26"/>
      <c r="F21" s="26"/>
    </row>
    <row r="23" spans="2:6" x14ac:dyDescent="0.2">
      <c r="D23" s="26" t="s">
        <v>76</v>
      </c>
    </row>
  </sheetData>
  <mergeCells count="6">
    <mergeCell ref="B17:F17"/>
    <mergeCell ref="B19:F19"/>
    <mergeCell ref="A2:H2"/>
    <mergeCell ref="A3:H3"/>
    <mergeCell ref="A4:H4"/>
    <mergeCell ref="C16:G16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6"/>
  <sheetViews>
    <sheetView tabSelected="1" view="pageBreakPreview" zoomScale="60" zoomScaleNormal="100" workbookViewId="0">
      <selection activeCell="G23" sqref="G23"/>
    </sheetView>
  </sheetViews>
  <sheetFormatPr defaultRowHeight="12.75" x14ac:dyDescent="0.2"/>
  <cols>
    <col min="1" max="1" width="38.33203125" customWidth="1"/>
    <col min="2" max="2" width="16.6640625" customWidth="1"/>
    <col min="3" max="3" width="21.6640625" customWidth="1"/>
    <col min="4" max="4" width="16" customWidth="1"/>
    <col min="5" max="5" width="14.1640625" customWidth="1"/>
    <col min="6" max="6" width="17.83203125" customWidth="1"/>
    <col min="7" max="7" width="26.6640625" customWidth="1"/>
  </cols>
  <sheetData>
    <row r="2" spans="1:7" ht="30" customHeight="1" x14ac:dyDescent="0.2">
      <c r="A2" s="82" t="s">
        <v>104</v>
      </c>
      <c r="B2" s="82"/>
      <c r="C2" s="82"/>
      <c r="D2" s="82"/>
      <c r="E2" s="82"/>
      <c r="F2" s="82"/>
      <c r="G2" s="82"/>
    </row>
    <row r="3" spans="1:7" ht="115.5" customHeight="1" x14ac:dyDescent="0.2">
      <c r="A3" s="25" t="s">
        <v>18</v>
      </c>
      <c r="B3" s="25" t="s">
        <v>19</v>
      </c>
      <c r="C3" s="25" t="s">
        <v>20</v>
      </c>
      <c r="D3" s="25" t="s">
        <v>21</v>
      </c>
      <c r="E3" s="25" t="s">
        <v>22</v>
      </c>
      <c r="F3" s="25" t="s">
        <v>23</v>
      </c>
      <c r="G3" s="25" t="s">
        <v>24</v>
      </c>
    </row>
    <row r="4" spans="1:7" ht="18.399999999999999" customHeight="1" x14ac:dyDescent="0.2">
      <c r="A4" s="10"/>
      <c r="B4" s="10" t="s">
        <v>25</v>
      </c>
      <c r="C4" s="10" t="s">
        <v>25</v>
      </c>
      <c r="D4" s="10" t="s">
        <v>25</v>
      </c>
      <c r="E4" s="10" t="s">
        <v>26</v>
      </c>
      <c r="F4" s="10" t="s">
        <v>27</v>
      </c>
      <c r="G4" s="10" t="s">
        <v>27</v>
      </c>
    </row>
    <row r="5" spans="1:7" ht="18.399999999999999" customHeight="1" x14ac:dyDescent="0.2">
      <c r="A5" s="10" t="s">
        <v>9</v>
      </c>
      <c r="B5" s="10" t="s">
        <v>10</v>
      </c>
      <c r="C5" s="10" t="s">
        <v>28</v>
      </c>
      <c r="D5" s="10" t="s">
        <v>11</v>
      </c>
      <c r="E5" s="10" t="s">
        <v>12</v>
      </c>
      <c r="F5" s="10" t="s">
        <v>13</v>
      </c>
      <c r="G5" s="10" t="s">
        <v>29</v>
      </c>
    </row>
    <row r="6" spans="1:7" ht="90" customHeight="1" x14ac:dyDescent="0.2">
      <c r="A6" s="19" t="s">
        <v>93</v>
      </c>
      <c r="B6" s="35">
        <f>B7</f>
        <v>10255.084390551181</v>
      </c>
      <c r="C6" s="35">
        <f>C7</f>
        <v>42186.799600262471</v>
      </c>
      <c r="D6" s="35">
        <f>D7</f>
        <v>52441.883990813651</v>
      </c>
      <c r="E6" s="35">
        <f>E8</f>
        <v>381</v>
      </c>
      <c r="F6" s="25"/>
      <c r="G6" s="35">
        <f>G7</f>
        <v>19980357.800500002</v>
      </c>
    </row>
    <row r="7" spans="1:7" ht="63.95" customHeight="1" x14ac:dyDescent="0.2">
      <c r="A7" s="13" t="s">
        <v>82</v>
      </c>
      <c r="B7" s="33">
        <f>'Табл.6 '!C8/'Табл.6 '!G8</f>
        <v>10255.084390551181</v>
      </c>
      <c r="C7" s="33">
        <f>'Табл.6 '!D8/'Табл.6 '!G8</f>
        <v>42186.799600262471</v>
      </c>
      <c r="D7" s="33">
        <f>C7+B7</f>
        <v>52441.883990813651</v>
      </c>
      <c r="E7" s="33">
        <f>E8</f>
        <v>381</v>
      </c>
      <c r="F7" s="2"/>
      <c r="G7" s="33">
        <f>E7*D7</f>
        <v>19980357.800500002</v>
      </c>
    </row>
    <row r="8" spans="1:7" ht="19.5" customHeight="1" x14ac:dyDescent="0.2">
      <c r="A8" s="6" t="s">
        <v>83</v>
      </c>
      <c r="B8" s="33">
        <f>B7</f>
        <v>10255.084390551181</v>
      </c>
      <c r="C8" s="33">
        <f>C7</f>
        <v>42186.799600262471</v>
      </c>
      <c r="D8" s="33">
        <f>D7</f>
        <v>52441.883990813651</v>
      </c>
      <c r="E8" s="33">
        <f>Table5!C7</f>
        <v>381</v>
      </c>
      <c r="F8" s="32"/>
      <c r="G8" s="33">
        <f>G7</f>
        <v>19980357.800500002</v>
      </c>
    </row>
    <row r="9" spans="1:7" ht="110.25" customHeight="1" x14ac:dyDescent="0.2">
      <c r="A9" s="19" t="s">
        <v>85</v>
      </c>
      <c r="B9" s="35">
        <f>B10</f>
        <v>24787.754513962263</v>
      </c>
      <c r="C9" s="35">
        <f>C10</f>
        <v>14467.857481132078</v>
      </c>
      <c r="D9" s="35">
        <f>D10</f>
        <v>39255.611995094339</v>
      </c>
      <c r="E9" s="35">
        <f>E10</f>
        <v>53</v>
      </c>
      <c r="F9" s="25"/>
      <c r="G9" s="35">
        <f>G10</f>
        <v>2080547.4357400001</v>
      </c>
    </row>
    <row r="10" spans="1:7" ht="63" customHeight="1" x14ac:dyDescent="0.2">
      <c r="A10" s="13" t="s">
        <v>84</v>
      </c>
      <c r="B10" s="33">
        <f>'Табл.6 '!C11/'Табл.6 '!G11</f>
        <v>24787.754513962263</v>
      </c>
      <c r="C10" s="33">
        <f>'Табл.6 '!D11/'Табл.6 '!G11</f>
        <v>14467.857481132078</v>
      </c>
      <c r="D10" s="33">
        <f>C10+B10</f>
        <v>39255.611995094339</v>
      </c>
      <c r="E10" s="33">
        <f>E11</f>
        <v>53</v>
      </c>
      <c r="F10" s="2"/>
      <c r="G10" s="33">
        <f>E10*D10</f>
        <v>2080547.4357400001</v>
      </c>
    </row>
    <row r="11" spans="1:7" ht="14.45" customHeight="1" x14ac:dyDescent="0.2">
      <c r="A11" s="6" t="s">
        <v>86</v>
      </c>
      <c r="B11" s="33">
        <f>B10</f>
        <v>24787.754513962263</v>
      </c>
      <c r="C11" s="33">
        <f>C10</f>
        <v>14467.857481132078</v>
      </c>
      <c r="D11" s="33">
        <f>D10</f>
        <v>39255.611995094339</v>
      </c>
      <c r="E11" s="57">
        <f>Table5!C10</f>
        <v>53</v>
      </c>
      <c r="F11" s="32"/>
      <c r="G11" s="33">
        <f>G10</f>
        <v>2080547.4357400001</v>
      </c>
    </row>
    <row r="12" spans="1:7" ht="99.75" x14ac:dyDescent="0.2">
      <c r="A12" s="19" t="s">
        <v>89</v>
      </c>
      <c r="B12" s="35">
        <f>B13</f>
        <v>64729.81338</v>
      </c>
      <c r="C12" s="35">
        <f>C13</f>
        <v>41825.260718181817</v>
      </c>
      <c r="D12" s="35">
        <f>D13</f>
        <v>106555.07409818182</v>
      </c>
      <c r="E12" s="60">
        <f>E13</f>
        <v>22</v>
      </c>
      <c r="F12" s="35"/>
      <c r="G12" s="35">
        <f>G13</f>
        <v>2344211.6301600002</v>
      </c>
    </row>
    <row r="13" spans="1:7" ht="89.25" x14ac:dyDescent="0.2">
      <c r="A13" s="13" t="s">
        <v>88</v>
      </c>
      <c r="B13" s="56">
        <f>'Табл.6 '!C14/'Табл.6 '!G14</f>
        <v>64729.81338</v>
      </c>
      <c r="C13" s="56">
        <f>'Табл.6 '!D14/'Табл.6 '!G14</f>
        <v>41825.260718181817</v>
      </c>
      <c r="D13" s="56">
        <f>B13+C13</f>
        <v>106555.07409818182</v>
      </c>
      <c r="E13" s="58">
        <f>E14</f>
        <v>22</v>
      </c>
      <c r="F13" s="56"/>
      <c r="G13" s="56">
        <f>E13*D13</f>
        <v>2344211.6301600002</v>
      </c>
    </row>
    <row r="14" spans="1:7" ht="15" x14ac:dyDescent="0.2">
      <c r="A14" s="6" t="s">
        <v>86</v>
      </c>
      <c r="B14" s="38"/>
      <c r="C14" s="38"/>
      <c r="D14" s="38"/>
      <c r="E14" s="61">
        <f>Table5!C13</f>
        <v>22</v>
      </c>
      <c r="F14" s="38"/>
      <c r="G14" s="38"/>
    </row>
    <row r="15" spans="1:7" ht="15.95" customHeight="1" x14ac:dyDescent="0.2">
      <c r="A15" s="43" t="s">
        <v>30</v>
      </c>
      <c r="B15" s="36"/>
      <c r="C15" s="36"/>
      <c r="D15" s="36"/>
      <c r="E15" s="43"/>
      <c r="F15" s="34">
        <f>Table3!F6</f>
        <v>118642.73</v>
      </c>
      <c r="G15" s="35">
        <f>G12+G9+G6</f>
        <v>24405116.866400003</v>
      </c>
    </row>
    <row r="16" spans="1:7" x14ac:dyDescent="0.2">
      <c r="D16" s="26" t="s">
        <v>76</v>
      </c>
      <c r="G16" s="26">
        <f>G15+F15</f>
        <v>24523759.596400004</v>
      </c>
    </row>
    <row r="18" spans="2:6" x14ac:dyDescent="0.2">
      <c r="B18" s="76" t="s">
        <v>77</v>
      </c>
      <c r="C18" s="76"/>
      <c r="D18" s="76"/>
      <c r="E18" s="76"/>
      <c r="F18" s="76"/>
    </row>
    <row r="20" spans="2:6" x14ac:dyDescent="0.2">
      <c r="B20" s="76" t="s">
        <v>78</v>
      </c>
      <c r="C20" s="76"/>
      <c r="D20" s="76"/>
      <c r="E20" s="76"/>
      <c r="F20" s="76"/>
    </row>
    <row r="24" spans="2:6" x14ac:dyDescent="0.2">
      <c r="B24" s="76"/>
      <c r="C24" s="76"/>
      <c r="D24" s="76"/>
      <c r="E24" s="76"/>
      <c r="F24" s="76"/>
    </row>
    <row r="26" spans="2:6" x14ac:dyDescent="0.2">
      <c r="B26" s="76"/>
      <c r="C26" s="76"/>
      <c r="D26" s="76"/>
      <c r="E26" s="76"/>
      <c r="F26" s="76"/>
    </row>
  </sheetData>
  <mergeCells count="5">
    <mergeCell ref="A2:G2"/>
    <mergeCell ref="B24:F24"/>
    <mergeCell ref="B26:F26"/>
    <mergeCell ref="B18:F18"/>
    <mergeCell ref="B20:F20"/>
  </mergeCells>
  <pageMargins left="0.7" right="0.7" top="0.75" bottom="0.75" header="0.3" footer="0.3"/>
  <pageSetup paperSize="9" scale="6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2"/>
  <sheetViews>
    <sheetView workbookViewId="0">
      <selection activeCell="F27" sqref="F27"/>
    </sheetView>
  </sheetViews>
  <sheetFormatPr defaultRowHeight="12.75" x14ac:dyDescent="0.2"/>
  <cols>
    <col min="3" max="3" width="29.1640625" customWidth="1"/>
    <col min="5" max="5" width="30.83203125" customWidth="1"/>
    <col min="8" max="8" width="12.6640625" bestFit="1" customWidth="1"/>
    <col min="10" max="10" width="12.6640625" bestFit="1" customWidth="1"/>
    <col min="12" max="12" width="12.6640625" bestFit="1" customWidth="1"/>
  </cols>
  <sheetData>
    <row r="2" spans="1:10" ht="40.5" customHeight="1" x14ac:dyDescent="0.2">
      <c r="A2" s="75" t="s">
        <v>42</v>
      </c>
      <c r="B2" s="75"/>
      <c r="C2" s="75"/>
      <c r="E2" s="69"/>
    </row>
    <row r="3" spans="1:10" ht="111" customHeight="1" x14ac:dyDescent="0.2">
      <c r="A3" s="2" t="s">
        <v>1</v>
      </c>
      <c r="B3" s="2" t="s">
        <v>43</v>
      </c>
      <c r="C3" s="2" t="s">
        <v>44</v>
      </c>
      <c r="D3" s="18" t="s">
        <v>35</v>
      </c>
      <c r="E3" s="2" t="s">
        <v>95</v>
      </c>
    </row>
    <row r="4" spans="1:10" ht="18.95" customHeight="1" x14ac:dyDescent="0.2">
      <c r="A4" s="2" t="s">
        <v>9</v>
      </c>
      <c r="B4" s="2" t="s">
        <v>10</v>
      </c>
      <c r="C4" s="2" t="s">
        <v>28</v>
      </c>
      <c r="D4" s="13"/>
      <c r="E4" s="2" t="s">
        <v>11</v>
      </c>
    </row>
    <row r="5" spans="1:10" ht="53.25" customHeight="1" x14ac:dyDescent="0.2">
      <c r="A5" s="2" t="s">
        <v>36</v>
      </c>
      <c r="B5" s="2" t="s">
        <v>45</v>
      </c>
      <c r="C5" s="8" t="s">
        <v>37</v>
      </c>
      <c r="D5" s="21">
        <v>31480.87</v>
      </c>
      <c r="E5" s="68">
        <v>9851869.0999999996</v>
      </c>
      <c r="H5" s="26">
        <f>'услуга 1'!E5+СММ!E5+ГТО!E5</f>
        <v>9851869.0999999996</v>
      </c>
      <c r="J5" s="26"/>
    </row>
    <row r="6" spans="1:10" ht="15" hidden="1" customHeight="1" x14ac:dyDescent="0.2">
      <c r="A6" s="2" t="s">
        <v>40</v>
      </c>
      <c r="B6" s="2" t="s">
        <v>46</v>
      </c>
      <c r="C6" s="8" t="s">
        <v>47</v>
      </c>
      <c r="D6" s="21"/>
      <c r="E6" s="68">
        <v>664483.37</v>
      </c>
    </row>
    <row r="7" spans="1:10" ht="15" customHeight="1" x14ac:dyDescent="0.2">
      <c r="A7" s="2" t="s">
        <v>40</v>
      </c>
      <c r="B7" s="2">
        <v>212</v>
      </c>
      <c r="C7" s="8" t="s">
        <v>39</v>
      </c>
      <c r="D7" s="21"/>
      <c r="E7" s="68">
        <v>112600</v>
      </c>
      <c r="H7" s="26">
        <f>'услуга 1'!E6</f>
        <v>112600</v>
      </c>
    </row>
    <row r="8" spans="1:10" ht="15.2" customHeight="1" x14ac:dyDescent="0.2">
      <c r="A8" s="2" t="s">
        <v>48</v>
      </c>
      <c r="B8" s="2" t="s">
        <v>49</v>
      </c>
      <c r="C8" s="8" t="s">
        <v>50</v>
      </c>
      <c r="D8" s="21">
        <v>989.01</v>
      </c>
      <c r="E8" s="68">
        <v>96000</v>
      </c>
      <c r="H8" s="26">
        <f>'услуга 1'!E7</f>
        <v>96000</v>
      </c>
    </row>
    <row r="9" spans="1:10" ht="15.2" customHeight="1" x14ac:dyDescent="0.2">
      <c r="A9" s="2" t="s">
        <v>51</v>
      </c>
      <c r="B9" s="2" t="s">
        <v>52</v>
      </c>
      <c r="C9" s="8" t="s">
        <v>53</v>
      </c>
      <c r="D9" s="21">
        <v>2967.03</v>
      </c>
      <c r="E9" s="68">
        <v>150000</v>
      </c>
      <c r="H9" s="26">
        <f>'услуга 1'!E8</f>
        <v>150000</v>
      </c>
    </row>
    <row r="10" spans="1:10" ht="15.2" customHeight="1" x14ac:dyDescent="0.2">
      <c r="A10" s="2" t="s">
        <v>54</v>
      </c>
      <c r="B10" s="2" t="s">
        <v>55</v>
      </c>
      <c r="C10" s="8" t="s">
        <v>56</v>
      </c>
      <c r="D10" s="21">
        <v>15949.81</v>
      </c>
      <c r="E10" s="68">
        <v>3508056.9</v>
      </c>
      <c r="H10" s="26">
        <f>'услуга 1'!E9+СММ!E9+ГТО!E9</f>
        <v>3508056.9</v>
      </c>
    </row>
    <row r="11" spans="1:10" ht="15.2" customHeight="1" x14ac:dyDescent="0.2">
      <c r="A11" s="2">
        <v>6</v>
      </c>
      <c r="B11" s="2">
        <v>223</v>
      </c>
      <c r="C11" s="8" t="s">
        <v>57</v>
      </c>
      <c r="D11" s="21">
        <v>801.08</v>
      </c>
      <c r="E11" s="68">
        <v>203947.14</v>
      </c>
      <c r="H11" s="26">
        <f>'услуга 1'!E10+СММ!E10+ГТО!E10</f>
        <v>203947.14</v>
      </c>
    </row>
    <row r="12" spans="1:10" ht="15.2" customHeight="1" x14ac:dyDescent="0.2">
      <c r="A12" s="2">
        <v>7</v>
      </c>
      <c r="B12" s="2">
        <v>223</v>
      </c>
      <c r="C12" s="8" t="s">
        <v>58</v>
      </c>
      <c r="D12" s="21">
        <v>198.18</v>
      </c>
      <c r="E12" s="68">
        <v>180548.94</v>
      </c>
      <c r="H12" s="26">
        <f>'услуга 1'!E11+СММ!E11+ГТО!E11</f>
        <v>180548.94</v>
      </c>
    </row>
    <row r="13" spans="1:10" ht="15.2" customHeight="1" x14ac:dyDescent="0.2">
      <c r="A13" s="2">
        <v>8</v>
      </c>
      <c r="B13" s="2">
        <v>223</v>
      </c>
      <c r="C13" s="8" t="s">
        <v>59</v>
      </c>
      <c r="D13" s="21">
        <v>3930.05</v>
      </c>
      <c r="E13" s="68">
        <v>1591506.85</v>
      </c>
      <c r="H13" s="26">
        <f>'услуга 1'!E12+СММ!E12+ГТО!E12</f>
        <v>1591506.8500000003</v>
      </c>
    </row>
    <row r="14" spans="1:10" ht="15.2" customHeight="1" x14ac:dyDescent="0.2">
      <c r="A14" s="2">
        <v>9</v>
      </c>
      <c r="B14" s="2" t="s">
        <v>60</v>
      </c>
      <c r="C14" s="8" t="s">
        <v>61</v>
      </c>
      <c r="D14" s="21">
        <v>5853.17</v>
      </c>
      <c r="E14" s="68">
        <v>1286490.73</v>
      </c>
      <c r="H14" s="26">
        <f>'услуга 1'!E13</f>
        <v>1286490.73</v>
      </c>
    </row>
    <row r="15" spans="1:10" ht="15.2" customHeight="1" x14ac:dyDescent="0.2">
      <c r="A15" s="2">
        <v>10</v>
      </c>
      <c r="B15" s="2" t="s">
        <v>62</v>
      </c>
      <c r="C15" s="8" t="s">
        <v>63</v>
      </c>
      <c r="D15" s="21">
        <v>2448.56</v>
      </c>
      <c r="E15" s="68">
        <v>545176.35</v>
      </c>
      <c r="H15" s="26">
        <f>'услуга 1'!E14</f>
        <v>545176.35</v>
      </c>
    </row>
    <row r="16" spans="1:10" ht="15.2" customHeight="1" x14ac:dyDescent="0.2">
      <c r="A16" s="2">
        <v>11</v>
      </c>
      <c r="B16" s="2">
        <v>310</v>
      </c>
      <c r="C16" s="8" t="s">
        <v>97</v>
      </c>
      <c r="D16" s="21"/>
      <c r="E16" s="68">
        <v>168944.96</v>
      </c>
      <c r="H16" s="26">
        <f>'услуга 1'!E15</f>
        <v>168944.96</v>
      </c>
      <c r="J16" s="26"/>
    </row>
    <row r="17" spans="1:12" ht="15.2" customHeight="1" x14ac:dyDescent="0.2">
      <c r="A17" s="2">
        <v>12</v>
      </c>
      <c r="B17" s="2">
        <v>340</v>
      </c>
      <c r="C17" s="8" t="s">
        <v>81</v>
      </c>
      <c r="D17" s="21">
        <v>2448.56</v>
      </c>
      <c r="E17" s="68">
        <v>64981.86</v>
      </c>
      <c r="H17" s="26">
        <f>'услуга 1'!E16+СММ!E16+ГТО!E16</f>
        <v>64981.86</v>
      </c>
      <c r="J17" s="26"/>
      <c r="L17" s="26"/>
    </row>
    <row r="18" spans="1:12" ht="14.45" customHeight="1" x14ac:dyDescent="0.2">
      <c r="A18" s="83" t="s">
        <v>64</v>
      </c>
      <c r="B18" s="84"/>
      <c r="C18" s="85"/>
      <c r="D18" s="13"/>
      <c r="E18" s="27">
        <f>E5+E7+E8+E9+E10+E11+E12+E13+E14+E15+E16+E17</f>
        <v>17760122.830000002</v>
      </c>
      <c r="H18" s="26">
        <f>'услуга 1'!E17+СММ!E17+ГТО!E17</f>
        <v>17760122.830000006</v>
      </c>
    </row>
    <row r="19" spans="1:12" x14ac:dyDescent="0.2">
      <c r="E19" s="26" t="s">
        <v>76</v>
      </c>
    </row>
    <row r="20" spans="1:12" ht="12.75" customHeight="1" x14ac:dyDescent="0.2">
      <c r="B20" s="76" t="s">
        <v>77</v>
      </c>
      <c r="C20" s="76"/>
      <c r="D20" s="76"/>
      <c r="E20" s="76"/>
      <c r="H20" s="26"/>
      <c r="J20" s="26"/>
    </row>
    <row r="22" spans="1:12" ht="12.75" customHeight="1" x14ac:dyDescent="0.2">
      <c r="B22" s="76" t="s">
        <v>78</v>
      </c>
      <c r="C22" s="76"/>
      <c r="D22" s="76"/>
      <c r="E22" s="76"/>
    </row>
  </sheetData>
  <mergeCells count="4">
    <mergeCell ref="A2:C2"/>
    <mergeCell ref="A18:C18"/>
    <mergeCell ref="B20:E20"/>
    <mergeCell ref="B22:E2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1"/>
  <sheetViews>
    <sheetView workbookViewId="0">
      <selection activeCell="G20" sqref="G20"/>
    </sheetView>
  </sheetViews>
  <sheetFormatPr defaultRowHeight="12.75" x14ac:dyDescent="0.2"/>
  <cols>
    <col min="3" max="3" width="29.1640625" customWidth="1"/>
    <col min="4" max="4" width="0" hidden="1" customWidth="1"/>
    <col min="5" max="5" width="30.83203125" customWidth="1"/>
    <col min="8" max="8" width="18" customWidth="1"/>
    <col min="10" max="10" width="12.6640625" bestFit="1" customWidth="1"/>
    <col min="12" max="12" width="12.6640625" bestFit="1" customWidth="1"/>
  </cols>
  <sheetData>
    <row r="2" spans="1:12" ht="40.5" customHeight="1" x14ac:dyDescent="0.2">
      <c r="A2" s="75" t="s">
        <v>42</v>
      </c>
      <c r="B2" s="75"/>
      <c r="C2" s="75"/>
      <c r="E2" s="69"/>
    </row>
    <row r="3" spans="1:12" ht="111" customHeight="1" x14ac:dyDescent="0.2">
      <c r="A3" s="2" t="s">
        <v>1</v>
      </c>
      <c r="B3" s="2" t="s">
        <v>43</v>
      </c>
      <c r="C3" s="2" t="s">
        <v>44</v>
      </c>
      <c r="D3" s="18" t="s">
        <v>35</v>
      </c>
      <c r="E3" s="2" t="s">
        <v>95</v>
      </c>
    </row>
    <row r="4" spans="1:12" ht="18.95" customHeight="1" x14ac:dyDescent="0.2">
      <c r="A4" s="2" t="s">
        <v>9</v>
      </c>
      <c r="B4" s="2" t="s">
        <v>10</v>
      </c>
      <c r="C4" s="2" t="s">
        <v>28</v>
      </c>
      <c r="D4" s="13"/>
      <c r="E4" s="2" t="s">
        <v>11</v>
      </c>
    </row>
    <row r="5" spans="1:12" ht="53.25" customHeight="1" x14ac:dyDescent="0.2">
      <c r="A5" s="2" t="s">
        <v>36</v>
      </c>
      <c r="B5" s="2" t="s">
        <v>45</v>
      </c>
      <c r="C5" s="8" t="s">
        <v>37</v>
      </c>
      <c r="D5" s="21">
        <v>31480.87</v>
      </c>
      <c r="E5" s="70">
        <f>H5*0.89</f>
        <v>8768163.4989999998</v>
      </c>
      <c r="H5" s="68">
        <v>9851869.0999999996</v>
      </c>
      <c r="J5" s="26"/>
    </row>
    <row r="6" spans="1:12" ht="15" customHeight="1" x14ac:dyDescent="0.2">
      <c r="A6" s="2" t="s">
        <v>40</v>
      </c>
      <c r="B6" s="2">
        <v>212</v>
      </c>
      <c r="C6" s="8" t="s">
        <v>39</v>
      </c>
      <c r="D6" s="21"/>
      <c r="E6" s="71">
        <v>112600</v>
      </c>
      <c r="H6" s="68">
        <v>112600</v>
      </c>
    </row>
    <row r="7" spans="1:12" ht="15.2" customHeight="1" x14ac:dyDescent="0.2">
      <c r="A7" s="2" t="s">
        <v>48</v>
      </c>
      <c r="B7" s="2" t="s">
        <v>49</v>
      </c>
      <c r="C7" s="8" t="s">
        <v>50</v>
      </c>
      <c r="D7" s="21">
        <v>989.01</v>
      </c>
      <c r="E7" s="71">
        <v>96000</v>
      </c>
      <c r="H7" s="68">
        <v>96000</v>
      </c>
    </row>
    <row r="8" spans="1:12" ht="15.2" customHeight="1" x14ac:dyDescent="0.2">
      <c r="A8" s="2" t="s">
        <v>51</v>
      </c>
      <c r="B8" s="2" t="s">
        <v>52</v>
      </c>
      <c r="C8" s="8" t="s">
        <v>53</v>
      </c>
      <c r="D8" s="21">
        <v>2967.03</v>
      </c>
      <c r="E8" s="71">
        <v>150000</v>
      </c>
      <c r="H8" s="68">
        <v>150000</v>
      </c>
    </row>
    <row r="9" spans="1:12" ht="15.2" customHeight="1" x14ac:dyDescent="0.2">
      <c r="A9" s="2" t="s">
        <v>54</v>
      </c>
      <c r="B9" s="2" t="s">
        <v>55</v>
      </c>
      <c r="C9" s="8" t="s">
        <v>56</v>
      </c>
      <c r="D9" s="21">
        <v>15949.81</v>
      </c>
      <c r="E9" s="70">
        <f>H9*0.89</f>
        <v>3122170.6409999998</v>
      </c>
      <c r="H9" s="68">
        <v>3508056.9</v>
      </c>
    </row>
    <row r="10" spans="1:12" ht="15.2" customHeight="1" x14ac:dyDescent="0.2">
      <c r="A10" s="2">
        <v>6</v>
      </c>
      <c r="B10" s="2">
        <v>223</v>
      </c>
      <c r="C10" s="8" t="s">
        <v>57</v>
      </c>
      <c r="D10" s="21">
        <v>801.08</v>
      </c>
      <c r="E10" s="71">
        <f>H10*0.89</f>
        <v>181512.95460000003</v>
      </c>
      <c r="H10" s="68">
        <v>203947.14</v>
      </c>
    </row>
    <row r="11" spans="1:12" ht="15.2" customHeight="1" x14ac:dyDescent="0.2">
      <c r="A11" s="2">
        <v>7</v>
      </c>
      <c r="B11" s="2">
        <v>223</v>
      </c>
      <c r="C11" s="8" t="s">
        <v>58</v>
      </c>
      <c r="D11" s="21">
        <v>198.18</v>
      </c>
      <c r="E11" s="71">
        <f>H11*0.89</f>
        <v>160688.55660000001</v>
      </c>
      <c r="H11" s="68">
        <v>180548.94</v>
      </c>
    </row>
    <row r="12" spans="1:12" ht="15.2" customHeight="1" x14ac:dyDescent="0.2">
      <c r="A12" s="2">
        <v>8</v>
      </c>
      <c r="B12" s="2">
        <v>223</v>
      </c>
      <c r="C12" s="8" t="s">
        <v>59</v>
      </c>
      <c r="D12" s="21">
        <v>3930.05</v>
      </c>
      <c r="E12" s="70">
        <f>H12*0.89</f>
        <v>1416441.0965000002</v>
      </c>
      <c r="H12" s="68">
        <v>1591506.85</v>
      </c>
    </row>
    <row r="13" spans="1:12" ht="15.2" customHeight="1" x14ac:dyDescent="0.2">
      <c r="A13" s="2">
        <v>9</v>
      </c>
      <c r="B13" s="2" t="s">
        <v>60</v>
      </c>
      <c r="C13" s="8" t="s">
        <v>61</v>
      </c>
      <c r="D13" s="21">
        <v>5853.17</v>
      </c>
      <c r="E13" s="71">
        <v>1286490.73</v>
      </c>
      <c r="H13" s="68">
        <v>1286490.73</v>
      </c>
    </row>
    <row r="14" spans="1:12" ht="15.2" customHeight="1" x14ac:dyDescent="0.2">
      <c r="A14" s="2">
        <v>10</v>
      </c>
      <c r="B14" s="2" t="s">
        <v>62</v>
      </c>
      <c r="C14" s="8" t="s">
        <v>63</v>
      </c>
      <c r="D14" s="21">
        <v>2448.56</v>
      </c>
      <c r="E14" s="71">
        <v>545176.35</v>
      </c>
      <c r="H14" s="68">
        <v>545176.35</v>
      </c>
    </row>
    <row r="15" spans="1:12" ht="15.2" customHeight="1" x14ac:dyDescent="0.2">
      <c r="A15" s="2">
        <v>11</v>
      </c>
      <c r="B15" s="2">
        <v>310</v>
      </c>
      <c r="C15" s="8" t="s">
        <v>97</v>
      </c>
      <c r="D15" s="21"/>
      <c r="E15" s="71">
        <v>168944.96</v>
      </c>
      <c r="H15" s="68">
        <v>168944.96</v>
      </c>
      <c r="J15" s="26"/>
    </row>
    <row r="16" spans="1:12" ht="15.2" customHeight="1" x14ac:dyDescent="0.2">
      <c r="A16" s="2">
        <v>12</v>
      </c>
      <c r="B16" s="2">
        <v>340</v>
      </c>
      <c r="C16" s="8" t="s">
        <v>81</v>
      </c>
      <c r="D16" s="21">
        <v>2448.56</v>
      </c>
      <c r="E16" s="71">
        <v>64981.86</v>
      </c>
      <c r="H16" s="68">
        <v>64981.86</v>
      </c>
      <c r="J16" s="26"/>
      <c r="L16" s="26"/>
    </row>
    <row r="17" spans="1:10" ht="14.45" customHeight="1" x14ac:dyDescent="0.2">
      <c r="A17" s="83" t="s">
        <v>64</v>
      </c>
      <c r="B17" s="84"/>
      <c r="C17" s="85"/>
      <c r="D17" s="13"/>
      <c r="E17" s="72">
        <f>E5+E6+E7+E8+E9+E10+E11+E12+E13+E14+E15+E16</f>
        <v>16073170.647700002</v>
      </c>
      <c r="H17" s="68">
        <f>SUM(H5:H16)</f>
        <v>17760122.830000002</v>
      </c>
    </row>
    <row r="18" spans="1:10" x14ac:dyDescent="0.2">
      <c r="E18" s="26" t="s">
        <v>76</v>
      </c>
    </row>
    <row r="19" spans="1:10" ht="12.75" customHeight="1" x14ac:dyDescent="0.2">
      <c r="B19" s="76" t="s">
        <v>77</v>
      </c>
      <c r="C19" s="76"/>
      <c r="D19" s="76"/>
      <c r="E19" s="76"/>
      <c r="H19" s="26">
        <f>SUM(H5:H16)</f>
        <v>17760122.830000002</v>
      </c>
      <c r="J19" s="26"/>
    </row>
    <row r="21" spans="1:10" ht="12.75" customHeight="1" x14ac:dyDescent="0.2">
      <c r="B21" s="76" t="s">
        <v>78</v>
      </c>
      <c r="C21" s="76"/>
      <c r="D21" s="76"/>
      <c r="E21" s="76"/>
    </row>
  </sheetData>
  <mergeCells count="4">
    <mergeCell ref="A17:C17"/>
    <mergeCell ref="A2:C2"/>
    <mergeCell ref="B19:E19"/>
    <mergeCell ref="B21:E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Table5</vt:lpstr>
      <vt:lpstr>Table1</vt:lpstr>
      <vt:lpstr>Table2</vt:lpstr>
      <vt:lpstr>Table3</vt:lpstr>
      <vt:lpstr>Table4</vt:lpstr>
      <vt:lpstr>Табл.6 </vt:lpstr>
      <vt:lpstr>Табл 7</vt:lpstr>
      <vt:lpstr>Общехоз.</vt:lpstr>
      <vt:lpstr>услуга 1</vt:lpstr>
      <vt:lpstr>СММ</vt:lpstr>
      <vt:lpstr>ГТО</vt:lpstr>
      <vt:lpstr>Table1!Print_Titles_0</vt:lpstr>
      <vt:lpstr>Table5!Print_Titles_0</vt:lpstr>
      <vt:lpstr>Table1!Заголовки_для_печати</vt:lpstr>
      <vt:lpstr>Table5!Заголовки_для_печати</vt:lpstr>
      <vt:lpstr>Table1!Область_печати</vt:lpstr>
      <vt:lpstr>Table2!Область_печати</vt:lpstr>
      <vt:lpstr>Table3!Область_печати</vt:lpstr>
      <vt:lpstr>Table4!Область_печати</vt:lpstr>
      <vt:lpstr>Table5!Область_печати</vt:lpstr>
      <vt:lpstr>'Табл.6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TGA</cp:lastModifiedBy>
  <cp:revision>0</cp:revision>
  <cp:lastPrinted>2018-10-10T05:45:49Z</cp:lastPrinted>
  <dcterms:created xsi:type="dcterms:W3CDTF">2006-09-16T00:00:00Z</dcterms:created>
  <dcterms:modified xsi:type="dcterms:W3CDTF">2018-10-10T05:45:55Z</dcterms:modified>
</cp:coreProperties>
</file>