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420" yWindow="1095" windowWidth="9720" windowHeight="6525" tabRatio="651"/>
  </bookViews>
  <sheets>
    <sheet name="Приложение №2" sheetId="272" r:id="rId1"/>
  </sheets>
  <definedNames>
    <definedName name="_xlnm._FilterDatabase" localSheetId="0" hidden="1">'Приложение №2'!$A$11:$AI$11</definedName>
    <definedName name="_xlnm.Print_Titles" localSheetId="0">'Приложение №2'!$11:$11</definedName>
    <definedName name="_xlnm.Print_Area" localSheetId="0">'Приложение №2'!$B$2:$W$212</definedName>
  </definedNames>
  <calcPr calcId="124519"/>
</workbook>
</file>

<file path=xl/calcChain.xml><?xml version="1.0" encoding="utf-8"?>
<calcChain xmlns="http://schemas.openxmlformats.org/spreadsheetml/2006/main">
  <c r="X92" i="272"/>
  <c r="U199" l="1"/>
  <c r="P199"/>
  <c r="O199"/>
  <c r="G199"/>
  <c r="V198"/>
  <c r="V197"/>
  <c r="V196"/>
  <c r="P195"/>
  <c r="O195"/>
  <c r="G195"/>
  <c r="V194"/>
  <c r="N194"/>
  <c r="G194"/>
  <c r="U193"/>
  <c r="P193"/>
  <c r="V192"/>
  <c r="F192"/>
  <c r="G192" s="1"/>
  <c r="V191"/>
  <c r="U190"/>
  <c r="P190"/>
  <c r="O190"/>
  <c r="N190"/>
  <c r="H190"/>
  <c r="G190"/>
  <c r="F190"/>
  <c r="V189"/>
  <c r="V188"/>
  <c r="U187"/>
  <c r="P187"/>
  <c r="V186"/>
  <c r="V185"/>
  <c r="U184"/>
  <c r="P184"/>
  <c r="O184"/>
  <c r="I184"/>
  <c r="H184"/>
  <c r="G184"/>
  <c r="F184"/>
  <c r="V183"/>
  <c r="V182"/>
  <c r="V181"/>
  <c r="V180"/>
  <c r="U179"/>
  <c r="P179"/>
  <c r="V178"/>
  <c r="V177"/>
  <c r="G177"/>
  <c r="V176"/>
  <c r="G176"/>
  <c r="V175"/>
  <c r="G175"/>
  <c r="G174" s="1"/>
  <c r="U174"/>
  <c r="P174"/>
  <c r="O174"/>
  <c r="I174"/>
  <c r="H174"/>
  <c r="F174"/>
  <c r="E174"/>
  <c r="D174"/>
  <c r="V173"/>
  <c r="G173"/>
  <c r="V172"/>
  <c r="I172"/>
  <c r="H172"/>
  <c r="F172"/>
  <c r="E172"/>
  <c r="D172"/>
  <c r="V171"/>
  <c r="G171"/>
  <c r="V170"/>
  <c r="I170"/>
  <c r="G170"/>
  <c r="V169"/>
  <c r="I169"/>
  <c r="G169"/>
  <c r="V168"/>
  <c r="I168"/>
  <c r="G168"/>
  <c r="V167"/>
  <c r="I167"/>
  <c r="G167"/>
  <c r="V166"/>
  <c r="I166"/>
  <c r="G166"/>
  <c r="V165"/>
  <c r="I165"/>
  <c r="G165"/>
  <c r="V164"/>
  <c r="I164"/>
  <c r="G164"/>
  <c r="V163"/>
  <c r="I163"/>
  <c r="G163"/>
  <c r="U162"/>
  <c r="P162"/>
  <c r="O162"/>
  <c r="H162"/>
  <c r="F162"/>
  <c r="E162"/>
  <c r="D162"/>
  <c r="V161"/>
  <c r="I161"/>
  <c r="G161"/>
  <c r="V160"/>
  <c r="I160"/>
  <c r="G160"/>
  <c r="V159"/>
  <c r="I159"/>
  <c r="G159"/>
  <c r="V158"/>
  <c r="I158"/>
  <c r="G158"/>
  <c r="V157"/>
  <c r="I157"/>
  <c r="G157"/>
  <c r="V156"/>
  <c r="I156"/>
  <c r="G156"/>
  <c r="V155"/>
  <c r="G155"/>
  <c r="V154"/>
  <c r="I154"/>
  <c r="I153" s="1"/>
  <c r="G154"/>
  <c r="U153"/>
  <c r="V153" s="1"/>
  <c r="P153"/>
  <c r="O153"/>
  <c r="H153"/>
  <c r="F153"/>
  <c r="E153"/>
  <c r="D153"/>
  <c r="V152"/>
  <c r="G152"/>
  <c r="V151"/>
  <c r="I151"/>
  <c r="H151"/>
  <c r="G151"/>
  <c r="V150"/>
  <c r="G150"/>
  <c r="V149"/>
  <c r="I149"/>
  <c r="H149"/>
  <c r="G149"/>
  <c r="V148"/>
  <c r="I148"/>
  <c r="H148"/>
  <c r="G148"/>
  <c r="V147"/>
  <c r="I147"/>
  <c r="H147"/>
  <c r="G147"/>
  <c r="V146"/>
  <c r="I146"/>
  <c r="H146"/>
  <c r="G146"/>
  <c r="V145"/>
  <c r="I145"/>
  <c r="H145"/>
  <c r="G145"/>
  <c r="U144"/>
  <c r="P144"/>
  <c r="O144"/>
  <c r="F144"/>
  <c r="E144"/>
  <c r="D144"/>
  <c r="N143"/>
  <c r="V141"/>
  <c r="G141"/>
  <c r="V140"/>
  <c r="N140"/>
  <c r="G140"/>
  <c r="V139"/>
  <c r="F139"/>
  <c r="G139" s="1"/>
  <c r="V138"/>
  <c r="N138"/>
  <c r="G138"/>
  <c r="U137"/>
  <c r="P137"/>
  <c r="O137"/>
  <c r="N137"/>
  <c r="I137"/>
  <c r="H137"/>
  <c r="F137"/>
  <c r="E137"/>
  <c r="D137"/>
  <c r="V136"/>
  <c r="N136"/>
  <c r="G136"/>
  <c r="V135"/>
  <c r="G135"/>
  <c r="V134"/>
  <c r="G134"/>
  <c r="U133"/>
  <c r="N133"/>
  <c r="P133" s="1"/>
  <c r="U132"/>
  <c r="N132"/>
  <c r="P132" s="1"/>
  <c r="U131"/>
  <c r="N131"/>
  <c r="P131" s="1"/>
  <c r="U130"/>
  <c r="N130"/>
  <c r="P130" s="1"/>
  <c r="U129"/>
  <c r="P129"/>
  <c r="G129"/>
  <c r="U128"/>
  <c r="N128"/>
  <c r="P128" s="1"/>
  <c r="G128"/>
  <c r="U127"/>
  <c r="N127"/>
  <c r="P127" s="1"/>
  <c r="G127"/>
  <c r="U126"/>
  <c r="P126"/>
  <c r="G126"/>
  <c r="U125"/>
  <c r="P125"/>
  <c r="V124"/>
  <c r="H124"/>
  <c r="G124"/>
  <c r="U123"/>
  <c r="P123"/>
  <c r="G123"/>
  <c r="U122"/>
  <c r="P122"/>
  <c r="H122"/>
  <c r="G122"/>
  <c r="P121"/>
  <c r="G121"/>
  <c r="U120"/>
  <c r="P120"/>
  <c r="G120"/>
  <c r="U119"/>
  <c r="P119"/>
  <c r="G119"/>
  <c r="U118"/>
  <c r="P118"/>
  <c r="G118"/>
  <c r="U117"/>
  <c r="P117"/>
  <c r="G117"/>
  <c r="U116"/>
  <c r="P116"/>
  <c r="G116"/>
  <c r="V115"/>
  <c r="G115"/>
  <c r="V114"/>
  <c r="G114"/>
  <c r="P113"/>
  <c r="F113"/>
  <c r="G113" s="1"/>
  <c r="D113"/>
  <c r="P112"/>
  <c r="G112"/>
  <c r="V111"/>
  <c r="N111"/>
  <c r="G111"/>
  <c r="V110"/>
  <c r="N110"/>
  <c r="G110"/>
  <c r="V109"/>
  <c r="G109"/>
  <c r="V108"/>
  <c r="G108"/>
  <c r="D108"/>
  <c r="V107"/>
  <c r="G107"/>
  <c r="U106"/>
  <c r="P106"/>
  <c r="G106"/>
  <c r="U105"/>
  <c r="N105"/>
  <c r="P105" s="1"/>
  <c r="G105"/>
  <c r="U104"/>
  <c r="N104"/>
  <c r="P104" s="1"/>
  <c r="G104"/>
  <c r="U103"/>
  <c r="P103"/>
  <c r="G103"/>
  <c r="U102"/>
  <c r="P102"/>
  <c r="G102"/>
  <c r="U101"/>
  <c r="P101"/>
  <c r="F101"/>
  <c r="G101" s="1"/>
  <c r="O100"/>
  <c r="O96" s="1"/>
  <c r="N100"/>
  <c r="N96" s="1"/>
  <c r="F100"/>
  <c r="G100" s="1"/>
  <c r="D100"/>
  <c r="D99" s="1"/>
  <c r="U99"/>
  <c r="N99"/>
  <c r="P99" s="1"/>
  <c r="I99"/>
  <c r="H99"/>
  <c r="E99"/>
  <c r="P98"/>
  <c r="G98"/>
  <c r="U97"/>
  <c r="P97"/>
  <c r="G97"/>
  <c r="G96"/>
  <c r="V95"/>
  <c r="G95"/>
  <c r="U94"/>
  <c r="P94"/>
  <c r="G94"/>
  <c r="V92"/>
  <c r="V91"/>
  <c r="P88"/>
  <c r="O87"/>
  <c r="N87"/>
  <c r="I87"/>
  <c r="H87"/>
  <c r="F87"/>
  <c r="E87"/>
  <c r="D87"/>
  <c r="V86"/>
  <c r="U85"/>
  <c r="U84" s="1"/>
  <c r="P85"/>
  <c r="G85"/>
  <c r="G84" s="1"/>
  <c r="N84"/>
  <c r="O84" s="1"/>
  <c r="I84"/>
  <c r="H84"/>
  <c r="F84"/>
  <c r="E84"/>
  <c r="D84"/>
  <c r="V80"/>
  <c r="V79"/>
  <c r="E79"/>
  <c r="AB78"/>
  <c r="V78"/>
  <c r="J78"/>
  <c r="AB77"/>
  <c r="V77"/>
  <c r="J77"/>
  <c r="E77"/>
  <c r="V76"/>
  <c r="AB75"/>
  <c r="V75"/>
  <c r="J75"/>
  <c r="V74"/>
  <c r="J74"/>
  <c r="H74"/>
  <c r="AB74" s="1"/>
  <c r="AB73"/>
  <c r="V73"/>
  <c r="J73"/>
  <c r="E73"/>
  <c r="AB72"/>
  <c r="V72"/>
  <c r="J72"/>
  <c r="E72"/>
  <c r="AB71"/>
  <c r="V71"/>
  <c r="J71"/>
  <c r="AB70"/>
  <c r="V70"/>
  <c r="J70"/>
  <c r="AB69"/>
  <c r="V69"/>
  <c r="J69"/>
  <c r="AB68"/>
  <c r="P68"/>
  <c r="V68" s="1"/>
  <c r="J68"/>
  <c r="E68"/>
  <c r="AB67"/>
  <c r="V67"/>
  <c r="J67"/>
  <c r="AB66"/>
  <c r="U66"/>
  <c r="P66"/>
  <c r="J66"/>
  <c r="V65"/>
  <c r="V64"/>
  <c r="V63"/>
  <c r="AB62"/>
  <c r="V62"/>
  <c r="J62"/>
  <c r="E62"/>
  <c r="AB61"/>
  <c r="V61"/>
  <c r="J61"/>
  <c r="AB60"/>
  <c r="V60"/>
  <c r="L60"/>
  <c r="K60"/>
  <c r="I60"/>
  <c r="J60" s="1"/>
  <c r="E60"/>
  <c r="V59"/>
  <c r="AB58"/>
  <c r="U58"/>
  <c r="P58"/>
  <c r="J58"/>
  <c r="AB57"/>
  <c r="V57"/>
  <c r="J57"/>
  <c r="V56"/>
  <c r="AB55"/>
  <c r="V55"/>
  <c r="L55"/>
  <c r="K55"/>
  <c r="I55"/>
  <c r="O54"/>
  <c r="N54"/>
  <c r="M54"/>
  <c r="H54"/>
  <c r="F54"/>
  <c r="D54"/>
  <c r="V52"/>
  <c r="J52"/>
  <c r="G52"/>
  <c r="V51"/>
  <c r="J51"/>
  <c r="G51"/>
  <c r="V50"/>
  <c r="J50"/>
  <c r="G50"/>
  <c r="V49"/>
  <c r="J49"/>
  <c r="G49"/>
  <c r="V48"/>
  <c r="J48"/>
  <c r="G48"/>
  <c r="V47"/>
  <c r="J47"/>
  <c r="G47"/>
  <c r="V46"/>
  <c r="J46"/>
  <c r="G46"/>
  <c r="V45"/>
  <c r="J45"/>
  <c r="G45"/>
  <c r="V44"/>
  <c r="J44"/>
  <c r="H44"/>
  <c r="E44"/>
  <c r="V43"/>
  <c r="V38" s="1"/>
  <c r="J43"/>
  <c r="G43"/>
  <c r="V42"/>
  <c r="J42"/>
  <c r="G42"/>
  <c r="V41"/>
  <c r="J41"/>
  <c r="G41"/>
  <c r="V40"/>
  <c r="J40"/>
  <c r="H40"/>
  <c r="G40"/>
  <c r="V39"/>
  <c r="J39"/>
  <c r="G39"/>
  <c r="U38"/>
  <c r="L38"/>
  <c r="K38"/>
  <c r="I38"/>
  <c r="J38" s="1"/>
  <c r="D38"/>
  <c r="G37"/>
  <c r="AB36"/>
  <c r="V36"/>
  <c r="J36"/>
  <c r="E36"/>
  <c r="AB35"/>
  <c r="V35"/>
  <c r="J35"/>
  <c r="AB34"/>
  <c r="V34"/>
  <c r="J34"/>
  <c r="E34"/>
  <c r="AB33"/>
  <c r="V33"/>
  <c r="J33"/>
  <c r="AB32"/>
  <c r="U32"/>
  <c r="V32" s="1"/>
  <c r="J32"/>
  <c r="E32"/>
  <c r="AB31"/>
  <c r="V31"/>
  <c r="J31"/>
  <c r="E31"/>
  <c r="P30"/>
  <c r="P28" s="1"/>
  <c r="O30"/>
  <c r="O28" s="1"/>
  <c r="N30"/>
  <c r="N28" s="1"/>
  <c r="M30"/>
  <c r="M28" s="1"/>
  <c r="L30"/>
  <c r="L28" s="1"/>
  <c r="K30"/>
  <c r="K28" s="1"/>
  <c r="I30"/>
  <c r="I28" s="1"/>
  <c r="H30"/>
  <c r="F30"/>
  <c r="D30"/>
  <c r="D28" s="1"/>
  <c r="V29"/>
  <c r="G29"/>
  <c r="F28"/>
  <c r="V27"/>
  <c r="G27"/>
  <c r="AB26"/>
  <c r="V26"/>
  <c r="J26"/>
  <c r="G26"/>
  <c r="G23" s="1"/>
  <c r="AB25"/>
  <c r="V25"/>
  <c r="J25"/>
  <c r="AB24"/>
  <c r="V24"/>
  <c r="J24"/>
  <c r="E24"/>
  <c r="U23"/>
  <c r="P23"/>
  <c r="M23"/>
  <c r="M13" s="1"/>
  <c r="L23"/>
  <c r="K23"/>
  <c r="I23"/>
  <c r="I13" s="1"/>
  <c r="H23"/>
  <c r="H13" s="1"/>
  <c r="F23"/>
  <c r="E23"/>
  <c r="D23"/>
  <c r="D13" s="1"/>
  <c r="AB22"/>
  <c r="P22"/>
  <c r="V22" s="1"/>
  <c r="J22"/>
  <c r="E22"/>
  <c r="AB21"/>
  <c r="V21"/>
  <c r="J21"/>
  <c r="G21"/>
  <c r="AB20"/>
  <c r="V20"/>
  <c r="J20"/>
  <c r="G20"/>
  <c r="AB19"/>
  <c r="V19"/>
  <c r="J19"/>
  <c r="G19"/>
  <c r="AB18"/>
  <c r="V18"/>
  <c r="J18"/>
  <c r="G18"/>
  <c r="AB17"/>
  <c r="V17"/>
  <c r="J17"/>
  <c r="E17"/>
  <c r="AB16"/>
  <c r="V16"/>
  <c r="J16"/>
  <c r="AB15"/>
  <c r="V15"/>
  <c r="L15"/>
  <c r="L13" s="1"/>
  <c r="K15"/>
  <c r="J15"/>
  <c r="E15"/>
  <c r="V14"/>
  <c r="G14"/>
  <c r="O13"/>
  <c r="N13"/>
  <c r="F13"/>
  <c r="J23" l="1"/>
  <c r="I83"/>
  <c r="D143"/>
  <c r="D12"/>
  <c r="E143"/>
  <c r="L12"/>
  <c r="N83"/>
  <c r="N82" s="1"/>
  <c r="G153"/>
  <c r="V99"/>
  <c r="K54"/>
  <c r="N12"/>
  <c r="E83"/>
  <c r="E82" s="1"/>
  <c r="V94"/>
  <c r="G144"/>
  <c r="V174"/>
  <c r="V190"/>
  <c r="P84"/>
  <c r="V195"/>
  <c r="V98"/>
  <c r="K13"/>
  <c r="K12" s="1"/>
  <c r="J28"/>
  <c r="U30"/>
  <c r="U28" s="1"/>
  <c r="V28" s="1"/>
  <c r="U87"/>
  <c r="V87" s="1"/>
  <c r="O143"/>
  <c r="V162"/>
  <c r="M12"/>
  <c r="M81" s="1"/>
  <c r="P87"/>
  <c r="V121"/>
  <c r="O12"/>
  <c r="L54"/>
  <c r="F83"/>
  <c r="V88"/>
  <c r="P100"/>
  <c r="V118"/>
  <c r="V122"/>
  <c r="V125"/>
  <c r="F143"/>
  <c r="V199"/>
  <c r="E30"/>
  <c r="E28" s="1"/>
  <c r="G28" s="1"/>
  <c r="V102"/>
  <c r="V116"/>
  <c r="V127"/>
  <c r="P143"/>
  <c r="I144"/>
  <c r="I162"/>
  <c r="D83"/>
  <c r="O83"/>
  <c r="O82" s="1"/>
  <c r="V137"/>
  <c r="G172"/>
  <c r="V187"/>
  <c r="V58"/>
  <c r="G99"/>
  <c r="V120"/>
  <c r="G137"/>
  <c r="H144"/>
  <c r="H143" s="1"/>
  <c r="G143"/>
  <c r="G162"/>
  <c r="V193"/>
  <c r="P13"/>
  <c r="P12" s="1"/>
  <c r="E13"/>
  <c r="V23"/>
  <c r="J30"/>
  <c r="I54"/>
  <c r="E54"/>
  <c r="G54" s="1"/>
  <c r="H83"/>
  <c r="H82" s="1"/>
  <c r="G87"/>
  <c r="U100"/>
  <c r="V112"/>
  <c r="U143"/>
  <c r="V179"/>
  <c r="V184"/>
  <c r="I12"/>
  <c r="J13"/>
  <c r="N81"/>
  <c r="N200" s="1"/>
  <c r="AB13"/>
  <c r="AB23"/>
  <c r="V30"/>
  <c r="O81"/>
  <c r="J54"/>
  <c r="F12"/>
  <c r="U13"/>
  <c r="H28"/>
  <c r="AB28" s="1"/>
  <c r="AB30"/>
  <c r="D81"/>
  <c r="V105"/>
  <c r="L81"/>
  <c r="V128"/>
  <c r="AB54"/>
  <c r="V85"/>
  <c r="V104"/>
  <c r="V113"/>
  <c r="V117"/>
  <c r="V119"/>
  <c r="V123"/>
  <c r="V126"/>
  <c r="V129"/>
  <c r="V131"/>
  <c r="V133"/>
  <c r="V66"/>
  <c r="V101"/>
  <c r="V103"/>
  <c r="V106"/>
  <c r="V144"/>
  <c r="P54"/>
  <c r="P81" s="1"/>
  <c r="U54"/>
  <c r="J55"/>
  <c r="V84"/>
  <c r="V97"/>
  <c r="F99"/>
  <c r="V130"/>
  <c r="V132"/>
  <c r="P96"/>
  <c r="P83" s="1"/>
  <c r="K81" l="1"/>
  <c r="G30"/>
  <c r="E12"/>
  <c r="I81"/>
  <c r="V100"/>
  <c r="D82"/>
  <c r="V143"/>
  <c r="E81"/>
  <c r="G13"/>
  <c r="F82"/>
  <c r="G82" s="1"/>
  <c r="G12"/>
  <c r="O200"/>
  <c r="G83"/>
  <c r="U96"/>
  <c r="U83" s="1"/>
  <c r="U82" s="1"/>
  <c r="I143"/>
  <c r="I82" s="1"/>
  <c r="F81"/>
  <c r="G81" s="1"/>
  <c r="H12"/>
  <c r="V54"/>
  <c r="V96"/>
  <c r="J81"/>
  <c r="U12"/>
  <c r="V12" s="1"/>
  <c r="V13"/>
  <c r="J12"/>
  <c r="AB12" l="1"/>
  <c r="H81"/>
  <c r="AB81" s="1"/>
  <c r="U81"/>
  <c r="P82"/>
  <c r="V83"/>
  <c r="V82" l="1"/>
  <c r="P200"/>
  <c r="V81"/>
  <c r="U200"/>
  <c r="V200" l="1"/>
</calcChain>
</file>

<file path=xl/sharedStrings.xml><?xml version="1.0" encoding="utf-8"?>
<sst xmlns="http://schemas.openxmlformats.org/spreadsheetml/2006/main" count="340" uniqueCount="295">
  <si>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</si>
  <si>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платы за земельные участки, а также средства от продажи  права на заключение договоров аренды за земли, находящейся в собственности муниципальных районов (за исключением земельных участков муниципальных автономных учрежд</t>
  </si>
  <si>
    <t>Субвенции бюджетам муниципальных районов на выполнение передаваемых полномочий субъектов Российской Федерации, в том числе:</t>
  </si>
  <si>
    <t>1.1 Налоговые доходы</t>
  </si>
  <si>
    <t>1.2 Неналоговые доходы</t>
  </si>
  <si>
    <t xml:space="preserve"> Федеральные налоги</t>
  </si>
  <si>
    <t xml:space="preserve">Единый налог на вмененный  доход </t>
  </si>
  <si>
    <t>ВСЕГО ДОХОДОВ</t>
  </si>
  <si>
    <t>Плата за негативное воздействие на окружающую среду</t>
  </si>
  <si>
    <t>Налог на имущество, переход. в порядке дарения</t>
  </si>
  <si>
    <t>Государственная пошлина</t>
  </si>
  <si>
    <t>Налог на имущество с физических лиц</t>
  </si>
  <si>
    <t>182 1 01 02000 01 0000 110</t>
  </si>
  <si>
    <t>182 1 07 01020 01 0000 110</t>
  </si>
  <si>
    <t>182 1 05 01010 01 1000 110</t>
  </si>
  <si>
    <t>Земельный налог</t>
  </si>
  <si>
    <t>Налог на прибыль организаций</t>
  </si>
  <si>
    <t>000 1 08 00000 00 0000 000</t>
  </si>
  <si>
    <t>Единый сельскохозяйственный налог</t>
  </si>
  <si>
    <t>182 1 05 03000 01 0000 110</t>
  </si>
  <si>
    <t>182 1 05 01020 01 1000 110</t>
  </si>
  <si>
    <t>Земельный налог (по обязательствам возникшим до 1 января 2006 года)</t>
  </si>
  <si>
    <t>Налог на добычу общераспространенных полезных ископаемых</t>
  </si>
  <si>
    <t>Штрафы, санкции, возмещение ущерба</t>
  </si>
  <si>
    <t>МО "Город Удачный"</t>
  </si>
  <si>
    <t>МО "Поселок Айхал"</t>
  </si>
  <si>
    <t>МО "Поселок Чернышевский"</t>
  </si>
  <si>
    <t>МО "Поселок Светлый"</t>
  </si>
  <si>
    <t>МО "Поселок Алмазный"</t>
  </si>
  <si>
    <t>МО "Чуонинский наслег"</t>
  </si>
  <si>
    <t>МО "Ботуобуйинский наслег"</t>
  </si>
  <si>
    <t>МО "Город Мирный"</t>
  </si>
  <si>
    <t>Доходы от перечисления части прибыли остающейся после уплаты налогов и иных обязательных платежей  МУП, созданных муниципальным районам</t>
  </si>
  <si>
    <t>Доходы от продажи земельных участков</t>
  </si>
  <si>
    <t>МО "Садынский эвенкийский национальный наслег"</t>
  </si>
  <si>
    <t>800 2 02 03020 05 0000 151</t>
  </si>
  <si>
    <t xml:space="preserve">БЕЗВОЗМЕЗДНЫЕ ПОСТУПЛЕНИЯ </t>
  </si>
  <si>
    <t>Невыясненные поступления</t>
  </si>
  <si>
    <t>182 1 05 01000 00 0000 110</t>
  </si>
  <si>
    <t>182 1 05 02000 01 0000 110</t>
  </si>
  <si>
    <t>182 1 09 07030 05 0000 110</t>
  </si>
  <si>
    <t>182 1 09 01000 05 0000 110</t>
  </si>
  <si>
    <t>182 1 06 01000 05 0000 110</t>
  </si>
  <si>
    <t>182 1 06 06000 05 0000 110</t>
  </si>
  <si>
    <t>182 1 09 04050 05 0000 110</t>
  </si>
  <si>
    <t>000 1 16 00000 05 0000 000</t>
  </si>
  <si>
    <t>Доходы от реализации имущества, находящегося в собственности муниципального района</t>
  </si>
  <si>
    <t>Государственная пошлина по делам, рассматриваемым в судах общей юрисдикции, мировыми судьями (за исключением госпошлины по делам, рассматриваемым Верховным Судом РФ)</t>
  </si>
  <si>
    <t>800 1 08 07084 01 0000 110</t>
  </si>
  <si>
    <t>Доходы, получаемые в виде арендной платы за земельные участки, государственная собственность которых не разграничена и которые расположены в границах поселений, а также средства от продажи 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</si>
  <si>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</si>
  <si>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ИТОГО НАЛОГОВЫХ И НЕНАЛОГОВЫХ ДОХОДОВ</t>
  </si>
  <si>
    <t>182 1 08 03010 01 0000 110</t>
  </si>
  <si>
    <t>Налоги на совокупный доход</t>
  </si>
  <si>
    <t>Налог, взимаемый в связи с применением упрощенной системой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</si>
  <si>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</si>
  <si>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</si>
  <si>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</si>
  <si>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</si>
  <si>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</si>
  <si>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182 1 05 01050 01 0000 110</t>
  </si>
  <si>
    <t>Минимальный налог, зачисляемый в бюджеты субъектов Российской Федерации</t>
  </si>
  <si>
    <t xml:space="preserve"> Межбюджетные трансферты, передаваемые бюджетам муниципальных районов из бюджетов поселений на софинансирование подпрограммы "Обеспечение жильем молодых семей", в том числе:</t>
  </si>
  <si>
    <t>Субвенции бюджетам субъектов Российской Федерации и муниципальных образований</t>
  </si>
  <si>
    <t>пп</t>
  </si>
  <si>
    <t>в рублях</t>
  </si>
  <si>
    <t>Налог на игорный бизнес</t>
  </si>
  <si>
    <t>182 1 06 05000 02 0000 110</t>
  </si>
  <si>
    <t>164 1 13 02065 05 0000 130</t>
  </si>
  <si>
    <t>Доходы, поступающие в порядке возмещения расходов, понесенных в связи с эксплуатацией  имущества муниципальных районов (возмещение коммунальных расходов арендаторами)</t>
  </si>
  <si>
    <t>800 1 08 07150 01 0000 110</t>
  </si>
  <si>
    <t xml:space="preserve">Государственная пошлина за выдачу разрешения на установку рекламной конструкции </t>
  </si>
  <si>
    <t>Государственная пошлина за совершение действий, связанных с лицензированием</t>
  </si>
  <si>
    <t>Налог, взимаемый в виде стоимости патента в связи с применением упрощенной системы налогообложения</t>
  </si>
  <si>
    <t>182 1 09 11010 02 0000 110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</si>
  <si>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</si>
  <si>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</si>
  <si>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>182 1 05 04000 02 0000 110</t>
  </si>
  <si>
    <t>Налог, взимаемый в связи с применением патентной системы налогообложения</t>
  </si>
  <si>
    <t>Прочие безвозмездные поступления в бюджеты муниципальных районов</t>
  </si>
  <si>
    <t>Налоги, взимаемые в виде стоимости патента в связи с применением упрощенной системы налогообложения (за налоговые периоды, истекшие до 1 января 2011 года)</t>
  </si>
  <si>
    <t>183 1 09 11020 02 0000 110</t>
  </si>
  <si>
    <t>Дотация на  поддержку мер по обеспечению сбалансированности местных бюджетов из бюджета Республики Саха (Якутия)</t>
  </si>
  <si>
    <t>Прочие местные налоги и сборы, мобилизуемые на территориях муниципальных районов</t>
  </si>
  <si>
    <t>183 1 09 07050 05 0000 110</t>
  </si>
  <si>
    <t>048 1 12 01000 01 0000 120</t>
  </si>
  <si>
    <t>Прочие неналоговые доходы бюджетов муниципального района</t>
  </si>
  <si>
    <t>100 1 03 02000 01 0000 000</t>
  </si>
  <si>
    <t>Акцизы подакцизным товарам (продукции), производимые на территории Российской Федерации</t>
  </si>
  <si>
    <t>100 1 03 02230 01 0000 110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</si>
  <si>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</si>
  <si>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100 1 03 02240 01 0000 110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</si>
  <si>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</si>
  <si>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100 1 03 02250 01 0000 110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</si>
  <si>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</si>
  <si>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100 1 03 02260 01 0000 110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</si>
  <si>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</si>
  <si>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812 1 11 01050 05 0000 120</t>
  </si>
  <si>
    <t>812 1 11 05013 05 0000 120</t>
  </si>
  <si>
    <t>812 1 11 05025 05 0000 120</t>
  </si>
  <si>
    <t>812 1 11 05035 05 0000 120</t>
  </si>
  <si>
    <t>812 1 11 07015 05 0000 120</t>
  </si>
  <si>
    <t>812 1 11 09045 05 0000 120</t>
  </si>
  <si>
    <t>812 1 14 02053 05 0000 410</t>
  </si>
  <si>
    <t>812 1 14 06025 05 0000 430</t>
  </si>
  <si>
    <t>800 1 17 01050 05 0000 180</t>
  </si>
  <si>
    <t>Субвенции бюджетам муниципальных районов на государственную регистрацию актов гражданского состояния из бюджета Республики Саха (Якутия)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</si>
  <si>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 из бюджета Республики Саха (Якутия)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</si>
  <si>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 из бюджета Республики Саха (Якутия)</t>
  </si>
  <si>
    <t>800 2 02 03027 05 6310 151</t>
  </si>
  <si>
    <t>800 2 02 03027 05 6334 151</t>
  </si>
  <si>
    <t>800 2 02 03027 05 6308 151</t>
  </si>
  <si>
    <t>800 2 02 03026 05 6312 151</t>
  </si>
  <si>
    <t>ИТОГО БЕЗВОЗМЕЗДНЫЕ ПОСТУПЛЕНИЯ ИЗ БЮДЖЕТОВ ПОСЕЛЕНИЙ</t>
  </si>
  <si>
    <t>Отклонение (+;-)</t>
  </si>
  <si>
    <t>812 1 13 02995 05 0000 130</t>
  </si>
  <si>
    <t xml:space="preserve">Местные налоги </t>
  </si>
  <si>
    <t>Задолженность по отмененным местным налогам и сборам</t>
  </si>
  <si>
    <t xml:space="preserve">Прочие доходы от компенсации затрат  бюджетов муниципальных районов </t>
  </si>
  <si>
    <t xml:space="preserve">Безвозмездные поступления из федерального и республиканского бюджетов </t>
  </si>
  <si>
    <t>Субсидии бюджетам бюджетной системы Российской Федерации (межбюджетные субсидии)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</si>
  <si>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(софинансирование на строительство детского сада в с.Тас-Юрях), в том числе:</t>
  </si>
  <si>
    <t>800 1 11 03050 05 0000 120</t>
  </si>
  <si>
    <t>Иные межбюджетные трансферты</t>
  </si>
  <si>
    <t>182 1 09 07013 05 0000 110</t>
  </si>
  <si>
    <t>Налог на рекламу, мобилизуемый на территориях муниципальных районов</t>
  </si>
  <si>
    <t>800 2 02 04999 05 6443 151</t>
  </si>
  <si>
    <t>Иные межбюджетные трансферты на компенсационные выплаты на питание обучающихся из малоимущих многодетных семей общеобразовательных организаций</t>
  </si>
  <si>
    <t>800 1 17 00000 05 0000 180</t>
  </si>
  <si>
    <t>Доходы от оказания платных услуг и компенсации затрат</t>
  </si>
  <si>
    <t>Субсидия на организацию отдыха детей в каникулярное время</t>
  </si>
  <si>
    <t>Субвенции на выполнение отдельных государственных полномочий по опеке и попечительству в отношении лиц, признанных судом недееспособным или ограниченно дееспособными</t>
  </si>
  <si>
    <t>Субвенции на выполнение отдельных государственных полномочий на бесплатный проезд детей-сирот и детей, оставшихся без попечения родителей, обучающихся в муниципальных образовательных учреждениях</t>
  </si>
  <si>
    <t>Субвенции на выполнение отдельных государственных полномочий на санаторно-курортное лечение, летний труд и отдых детей-сирот и детей, оставшихся без попечения родителей</t>
  </si>
  <si>
    <t>Субвенции на выполнение отдельных государственных полномочий по опеке и попечительству в отношении несовершеннолетних</t>
  </si>
  <si>
    <t>Субвенции на выполнение отдельных государственных полномочий на поддержку скотоводства</t>
  </si>
  <si>
    <t>Субвенции на выполнение отдельных государственных полномочий на поддержку базовых свиноводческих хозяйств</t>
  </si>
  <si>
    <t>Субвенции на выполнение отдельных государственных полномочий на поддержку табунного коневодства</t>
  </si>
  <si>
    <t>Субвенции на выполнение отдельных государственных полномочий на поддержку производства овощей открытого грунта</t>
  </si>
  <si>
    <t>Субвенции на выполнение отдельных государственных полномочий поддержку производства картофеля</t>
  </si>
  <si>
    <t>Субвенции на выполнение отдельных государственных полномочий по поддержке сельскохозяйственного производства муниципальными служащими</t>
  </si>
  <si>
    <t>Субвенции на выполнение отдельных государственных полномочий на другие  расходы, связанные с обеспечением осуществления отдельных государственных полномочий по поддержке сельскохозяйственного производства</t>
  </si>
  <si>
    <t>Субвенции на выполнение отдельных государственных полномочий по реализации Федеральных законов "О жилищных субсидиях гражданам, выезжающим из районов Крайнего Севера и приравненных к ним местностей" и "О жилищных субсидиях гражданам, выезжающим из закрывающихся населенных пунктов в районах Крайнего Севера и приравненных к ним местностей"</t>
  </si>
  <si>
    <t>Субвенции на выполнение отдельных государственных полномочий по исполнению органами местного самоуправления муниципальных районов переданных государственных полномочий по выравниванию бюджетной обеспеченности поселений</t>
  </si>
  <si>
    <t>Субвенции на выполнение отдельных государственных полномочий по осуществлению деятельности по опеке и попечительству в отношении совершеннолетних дееспособных граждан, которые по состоянию здоровья не могут самостоятельно осуществлять и защищать свои права и исполнять обязанности</t>
  </si>
  <si>
    <t>Субвенции на выполнение отдельных государственных полномочий в области охраны труда</t>
  </si>
  <si>
    <t>Субвенции на выполнение отдельных государственных полномочий по созданию административных комиссий</t>
  </si>
  <si>
    <t>Субвенции на выполнение отдельных государственных полномочий по исполнению функций комиссий по делам несовершеннолетних и защите их прав</t>
  </si>
  <si>
    <t>Субвенции на выполнение отдельных государственных полномочий по государственному регулированию цен (тарифов)</t>
  </si>
  <si>
    <t>Субвенции на выполнение отдельных государственных полномочий по комплектованию, хранению, учету и использованию документов Архивного фонда РС (Я) и других архивных документов, относящихся к государственной собственности Республики Саха (Якутия)</t>
  </si>
  <si>
    <t>Субвенции на выполнение отдельных государственных полномочий на организацию мероприятий по предупреждению и ликвидации болезней животных, их лечению, защите населения от болезней, общих для человека и животных</t>
  </si>
  <si>
    <t>Субвенции на выполнение отдельных государственных полномочий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</si>
  <si>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Субвенции на выполнение отдельных государственных полномочий на обеспечение семейных форм устройства детей сирот и детей, оставшихся без попечения родителей</t>
  </si>
  <si>
    <t>Субвенции на выполнение отдельных государственных полномочий на обеспечение семейных форм устройства детей сирот и детей, оставшихся без попечения родителей (выплата вознаграждения патронатным воспитателям)</t>
  </si>
  <si>
    <t>Субвенции на выполнение отдельных государственных полномочий на обеспечение семейных форм устройства детей сирот и детей, оставшихся без попечения родителей (единовременная дополнительная выплата)</t>
  </si>
  <si>
    <t>Доходы бюджетов муниципальных районов от возврата иными организациями остатков субсидий прошлых лет</t>
  </si>
  <si>
    <t>Наименование дохода</t>
  </si>
  <si>
    <t>Налог на доходы физических лиц в виде фиксированных авансовых платежей с доходов, полученных иностранными гражданами</t>
  </si>
  <si>
    <t>Субсидии на организацию и проведение конкурса на предоставление субсидии по реализации патриотического воспитания молодежи в муниципальных образованиях Республики Саха (Якутия)</t>
  </si>
  <si>
    <t>182 1 01 02040 01 0000 110</t>
  </si>
  <si>
    <t>800 2 02 03027 05 6338 151</t>
  </si>
  <si>
    <t>Субвенция на предоставление мер социальной поддержки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</si>
  <si>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Утвержденный план на 2017 год</t>
  </si>
  <si>
    <t>800 2 02 30024 05 6306 151</t>
  </si>
  <si>
    <t>800 2 02 30024 05 6307 151</t>
  </si>
  <si>
    <t>800 2 02 40014 05 0000 151</t>
  </si>
  <si>
    <t>% исполнения</t>
  </si>
  <si>
    <t xml:space="preserve">АО «РИА» </t>
  </si>
  <si>
    <t>Ожидаемое исполнение 2017г.</t>
  </si>
  <si>
    <t>2019г</t>
  </si>
  <si>
    <t>2020г.</t>
  </si>
  <si>
    <t xml:space="preserve">% исполнения </t>
  </si>
  <si>
    <t>Иные межбюджетные трансферты на обеспечение предоставления молодым учителям адресной помощи на компенсацию части расходов по уплате разницы процентов по ипотечному жилищному кредиту (займу)</t>
  </si>
  <si>
    <t>800 2 02 25519 05 0000 151</t>
  </si>
  <si>
    <t>Субсидия бюджетам муниципальных районов на поддержку отрасли культуры</t>
  </si>
  <si>
    <t>812 1 11 05325 05 0000 120</t>
  </si>
  <si>
    <t>Доходы от сдачи в аренду имущества, составляющего казну муниципальных районов (за исключением земельных участков)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</si>
  <si>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</si>
  <si>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 xml:space="preserve">План на 2017 год </t>
  </si>
  <si>
    <t>Прочие поступления от использования имущества, находящегося в собственности муниципального района (плата за наем)</t>
  </si>
  <si>
    <t>812 1 11 05075 05 000 120</t>
  </si>
  <si>
    <t>Фактическое исполнение за 1 квартал 2017г</t>
  </si>
  <si>
    <t>Фактическое исполнение за 1 квартал 2018г</t>
  </si>
  <si>
    <t>План на 2018г. (уточнение март)</t>
  </si>
  <si>
    <t>План на 2018г. (уточнение апрель)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</si>
  <si>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участков(в границах сельских поселений)</t>
  </si>
  <si>
    <t>800 2 02 25467 05 0000 151</t>
  </si>
  <si>
    <t>Субвенции на выполнение отдельных государственных полномочий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</t>
  </si>
  <si>
    <t>Субвенции на обеспечение деятельности отдельных организаций, осуществляющих образовательную деятельность по адаптированным основным общеобразовательным программам для обучающихся, воспитанников с ограниченными возможностями здоровья, оздоровительных образовательных организаций санаторного типа для детей, нуждающихся в длительном лечении</t>
  </si>
  <si>
    <t>Субвенции на выполнение отдельных государственных полномочий на обеспечение государственных гарантий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</si>
  <si>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Субвенции на выполнение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</si>
  <si>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Субвенции бюджетам муниципальных районов на осуществление полномочий по составлению (изменений) списков кандидатов в присяжные заседатели федеральных судов общей юрисдикции в Российской Федерации</t>
  </si>
  <si>
    <t>Иные межбюджетные трансферты на компенсация дополнительных расходов, возникших в результате решений, принятых органами власти другого уровня</t>
  </si>
  <si>
    <t>Иные межбюджетные трансферты на организацию выездных семинаров-обучений по управлению бюджетным процессом и финансами</t>
  </si>
  <si>
    <t>800 2 02 35120 05 0000 151</t>
  </si>
  <si>
    <t>Фактическое исполнение на 18.06.2018г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</si>
  <si>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</si>
  <si>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813 1 14 06313 05 0000 430</t>
  </si>
  <si>
    <t>812 1 17 00000 05 0000 180</t>
  </si>
  <si>
    <t>000 1 14 06013 00 0000 430</t>
  </si>
  <si>
    <t>Дотации бюджетам муниципальных районов на поддержку мер по обеспечению сбалансированности бюджетов</t>
  </si>
  <si>
    <t>Субвенции на выполнение отдельных государственных полномочий по выплате компенсации в части родительской платы  за содержание ребенка в образовательных организациях, реализующих основную общеобразовательную программу дошкольного образования</t>
  </si>
  <si>
    <t>Единая субвенция на выполнение отдельных государственных полномочий по предоставлению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</t>
  </si>
  <si>
    <t>800 2 02 20000 05 0000 150</t>
  </si>
  <si>
    <t>800 2 02 29999 05 6201 150</t>
  </si>
  <si>
    <t>800 2 02 03000 05 0000 150</t>
  </si>
  <si>
    <t>800 2 02 35930 05 0000 150</t>
  </si>
  <si>
    <t>800 2 02 35118 05 0000 150</t>
  </si>
  <si>
    <t>800 2 02 30024 05 0000 150</t>
  </si>
  <si>
    <t>800 2 02 30024 05 6301 150</t>
  </si>
  <si>
    <t>800 2 02 30024 05 6302 150</t>
  </si>
  <si>
    <t>800 2 02 30024 05 6303 150</t>
  </si>
  <si>
    <t>800 2 02 30024 05 6311 150</t>
  </si>
  <si>
    <t>800 2 02 30024 05 6316 150</t>
  </si>
  <si>
    <t>800 2 02 30024 05 6317 150</t>
  </si>
  <si>
    <t>800 2 02 30024 05 6319 150</t>
  </si>
  <si>
    <t>800 2 02 30024 05 6320 150</t>
  </si>
  <si>
    <t>800 2 02 30024 05 6324 150</t>
  </si>
  <si>
    <t>800 2 02 30024 05 6325 150</t>
  </si>
  <si>
    <t>800 2 02 30024 05 6326 150</t>
  </si>
  <si>
    <t>800 2 02 30024 05 6327 150</t>
  </si>
  <si>
    <t>800 2 02 30024 05 6328 150</t>
  </si>
  <si>
    <t>800 2 02 30024 05 6329 150</t>
  </si>
  <si>
    <t>800 2 02 30024 05 6330 150</t>
  </si>
  <si>
    <t>800 2 02 30024 05 6331 150</t>
  </si>
  <si>
    <t>800 2 02 30024 05 6332 150</t>
  </si>
  <si>
    <t>800 2 02 30024 05 6333 150</t>
  </si>
  <si>
    <t>800 2 02 30024 05 6335 150</t>
  </si>
  <si>
    <t>800 2 02 30024 05 6336 150</t>
  </si>
  <si>
    <t>800 2 02 30024 05 6337 150</t>
  </si>
  <si>
    <t>800 2 02 30024 05 6340 150</t>
  </si>
  <si>
    <t>800 2 02 30029 05 6305 150</t>
  </si>
  <si>
    <t>800 2 02 35260 05 0000 150</t>
  </si>
  <si>
    <t>000 2 02 40000 05 0000 150</t>
  </si>
  <si>
    <t>800 2 02 49999 05 6400 150</t>
  </si>
  <si>
    <t>800 2 02 49999 05 6531 150</t>
  </si>
  <si>
    <t>800 2 02 49999 05 6502 150</t>
  </si>
  <si>
    <t>800 2 02 40014 05 0000 150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</si>
  <si>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выполнение функций в области градостроительной деятельности в рамках  МП "Градостроительное планирование и развитие территорий Мирнинского района"), в том числе: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</si>
  <si>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выполнение функций контрольных органов), в том числе: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</si>
  <si>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 на выполнение функций финансового органа), в том числе: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</si>
  <si>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выполнение функций в области индивидуального жилищного строительства  в рамках МП "Индивидуальное жилищное строительство в Мирнинском районе", в том числе:</t>
  </si>
  <si>
    <t>800 2 07 05030 05 0000 150</t>
  </si>
  <si>
    <t>800 2 18 05010 05 0000 150</t>
  </si>
  <si>
    <t>800 2 18 05020 05 0000 150</t>
  </si>
  <si>
    <t>800 2 18 60010 05 0000 150</t>
  </si>
  <si>
    <t>800 2 19 60010 05 0000 150</t>
  </si>
  <si>
    <t>182 1 06 01030 05 2100 110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</si>
  <si>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</si>
  <si>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800 2 19 25555 05 0000 150</t>
  </si>
  <si>
    <t>800 2 19 35120 05 0000 150</t>
  </si>
  <si>
    <t>800 2 18 25555 05 0000 150</t>
  </si>
  <si>
    <t>Доходы бюджетов муниципальных районов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поселений</t>
  </si>
  <si>
    <t>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муниципальных районов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</si>
  <si>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</si>
  <si>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800 2 02 25511 05 0000 150</t>
  </si>
  <si>
    <t>Субсидии бюджетам муниципальных районов на проведение комплексных кадастровых работ в рамках федеральной целевой программы "Развитие единой государственной системы регистрации прав и кадастрового учета недвижимости (2014 - 2020 годы)"</t>
  </si>
  <si>
    <t>800 2 02 35543 05 0000 150</t>
  </si>
  <si>
    <t xml:space="preserve">План на 2019г. </t>
  </si>
  <si>
    <t>182 1 09 04040 01 2100 110</t>
  </si>
  <si>
    <t>800 2 02 30024 05 6338 150</t>
  </si>
  <si>
    <t>Субвенция на выполнение отдельных государственных полномочий по предоставлению мер социальной поддержки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</si>
  <si>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800 2 02 15002 05 0000 150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</si>
  <si>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</si>
  <si>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Межбюджетные трансферты, передаваемые бюджетам муниципальных районов из бюджетов поселений (на софинансирование МП "Развитие библиотечного дела"), в том числе:</t>
  </si>
  <si>
    <t>Межбюджетные трансферты, передаваемые бюджетам муниципальных районов из бюджетов поселений на МП «Обеспечение общественной безопасности, участие в профилактике терроризма и экстремизма на территории Мирнинский района"</t>
  </si>
  <si>
    <t>800 2 02 29999 05 6207 150</t>
  </si>
  <si>
    <t>800 2 02 25497 05 0000 150</t>
  </si>
  <si>
    <t>Субсидия на реализацию мероприятия "Обеспечение жильем молодых семей"</t>
  </si>
  <si>
    <t>800 2 04 05010 05 0000 150</t>
  </si>
  <si>
    <t>Предоставление негосударственными организациями грантов для получателей средств бюджетов муниципальных районов</t>
  </si>
  <si>
    <t>800 2 02 20077 05 6400 150</t>
  </si>
  <si>
    <t>Субсидии на реализацию мероприятия  "Развитие и освоение территорий в целях стимулирования строительства индивидуальных жилых домов" подпрограмма "Реализация градостроительной политики, развитие и освоение территорий" государственной программы РС (Я) "Обеспечение качественным жильем и повышение качества жилищно-коммунальных услуг на 2018-2022 годы" (Устройство насыпи земляного полотна по ул.Майская)</t>
  </si>
  <si>
    <t xml:space="preserve">Дивиденды по акциям и доходы от прочих форм участия в капитале, находящихся в собственности муниципальных районов (АК «АЛРОСА (ПАО) </t>
  </si>
  <si>
    <t>Код бюджетной классификации</t>
  </si>
  <si>
    <t>812 2 18 05030 05 0000 150</t>
  </si>
  <si>
    <t>Отклонение</t>
  </si>
  <si>
    <t>Ожидаемое исполнение за 2019 год</t>
  </si>
  <si>
    <t>Дотации бюджетам муниципальных районов на поддержку мер по обеспечению сбалансированности бюджетов на повышение оплаты труда работников учреждений бюджетного сектора экономики с 01.06.2019 г.</t>
  </si>
  <si>
    <t>800 2 02 20077 05 6400 151</t>
  </si>
  <si>
    <t>Выделение средств муниципальным образованиям в виде капитальных вложений на обустройство зон индивидуальной жилой застройки и оплата расходов по доставке строительных материалов до арктических и северных улусов Республики Саха (Якутия)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</si>
  <si>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</si>
  <si>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800 2 19 25497 05 0000 150</t>
  </si>
  <si>
    <t>Возврат остатков субсидий на реализацию мероприятий по обеспечению жильем молодых семей из бюджетов муниципальных районов</t>
  </si>
  <si>
    <t>% исп</t>
  </si>
  <si>
    <t>000 1 13 00000 05 0000 130</t>
  </si>
  <si>
    <t>План на 2019г. (уточнение ноябрь)</t>
  </si>
  <si>
    <t>Иные межбюджетные трансферты на компенсацию выпадающих доходов в связи со снижением ставки налогообложения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</si>
  <si>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 (табунное коневодство)</t>
  </si>
  <si>
    <t>000 1 11 05013 13 0000 120</t>
  </si>
  <si>
    <t>Фактическое исполнение на 01.01.2020г</t>
  </si>
  <si>
    <t>к решению сессии районного Совета депутатов</t>
  </si>
  <si>
    <t>Анализ исполнения бюджета МО "Мирнинский район" Республики Саха (Якутия) по доходной части за 2019 год</t>
  </si>
  <si>
    <t>Налог на доходы физических лиц, в том числе:</t>
  </si>
  <si>
    <t>Приложение  2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</si>
</sst>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"/>
    <numFmt numFmtId="165" formatCode="_(* #,##0.00_);_(* \(#,##0.00\);_(* &quot;-&quot;??_);_(@_)"/>
    <numFmt numFmtId="166" formatCode="dd/mm/yyyy\ hh:mm"/>
  </numFmts>
  <fonts count="72">
    <font>
      <sz val="10"/>
      <name val="Arial Cyr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0"/>
      <name val="Helv"/>
      <family val="2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2"/>
      <name val="Arial"/>
      <family val="2"/>
      <charset val="204"/>
    </font>
    <font>
      <sz val="11"/>
      <name val="Calibri"/>
      <family val="2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8000"/>
      <name val="Arial Cyr&quot;, sans-serif"/>
      <family val="2"/>
    </font>
    <font>
      <b/>
      <sz val="10"/>
      <color rgb="FF008000"/>
      <name val="Arial Cyr"/>
      <family val="2"/>
    </font>
    <font>
      <b/>
      <sz val="10"/>
      <color rgb="FF000000"/>
      <name val="Arial Cyr"/>
      <family val="2"/>
    </font>
    <font>
      <sz val="10"/>
      <color rgb="FF008000"/>
      <name val="Arial Cyr"/>
      <family val="2"/>
    </font>
    <font>
      <sz val="10"/>
      <color rgb="FF000000"/>
      <name val="Arial"/>
      <family val="2"/>
    </font>
    <font>
      <u/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4"/>
      <color rgb="FF000000"/>
      <name val="Arial Cyr"/>
      <family val="2"/>
    </font>
    <font>
      <b/>
      <sz val="10"/>
      <color rgb="FF000000"/>
      <name val="Arial Cyr&quot;, sans-serif"/>
      <family val="2"/>
    </font>
    <font>
      <sz val="8"/>
      <color rgb="FF000000"/>
      <name val="Arial Cyr"/>
      <family val="2"/>
    </font>
    <font>
      <b/>
      <sz val="12"/>
      <color rgb="FF000000"/>
      <name val="Times New Roman Cyr&quot;, serif"/>
      <family val="2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i/>
      <sz val="11"/>
      <color theme="1"/>
      <name val="Arial"/>
      <family val="2"/>
      <charset val="204"/>
    </font>
    <font>
      <b/>
      <sz val="10"/>
      <name val="Arial Cyr"/>
      <family val="2"/>
    </font>
    <font>
      <sz val="12"/>
      <name val="Arial Cyr"/>
      <family val="2"/>
    </font>
    <font>
      <i/>
      <sz val="11"/>
      <color rgb="FF0000FF"/>
      <name val="Arial"/>
      <family val="2"/>
      <charset val="204"/>
    </font>
    <font>
      <b/>
      <sz val="11"/>
      <color rgb="FF0000FF"/>
      <name val="Arial"/>
      <family val="2"/>
      <charset val="204"/>
    </font>
    <font>
      <b/>
      <i/>
      <sz val="11"/>
      <color rgb="FF0000FF"/>
      <name val="Arial"/>
      <family val="2"/>
      <charset val="204"/>
    </font>
    <font>
      <sz val="11"/>
      <color rgb="FF0000FF"/>
      <name val="Arial"/>
      <family val="2"/>
      <charset val="204"/>
    </font>
    <font>
      <b/>
      <sz val="11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</fonts>
  <fills count="61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9CC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912">
    <xf numFmtId="0" fontId="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3" fillId="24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33" fillId="25" borderId="0" applyNumberFormat="0" applyBorder="0" applyAlignment="0" applyProtection="0"/>
    <xf numFmtId="0" fontId="33" fillId="2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33" fillId="26" borderId="0" applyNumberFormat="0" applyBorder="0" applyAlignment="0" applyProtection="0"/>
    <xf numFmtId="0" fontId="33" fillId="2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33" fillId="27" borderId="0" applyNumberFormat="0" applyBorder="0" applyAlignment="0" applyProtection="0"/>
    <xf numFmtId="0" fontId="33" fillId="2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33" fillId="29" borderId="0" applyNumberFormat="0" applyBorder="0" applyAlignment="0" applyProtection="0"/>
    <xf numFmtId="0" fontId="33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33" fillId="30" borderId="0" applyNumberFormat="0" applyBorder="0" applyAlignment="0" applyProtection="0"/>
    <xf numFmtId="0" fontId="33" fillId="31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33" fillId="31" borderId="0" applyNumberFormat="0" applyBorder="0" applyAlignment="0" applyProtection="0"/>
    <xf numFmtId="0" fontId="33" fillId="3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33" fillId="33" borderId="0" applyNumberFormat="0" applyBorder="0" applyAlignment="0" applyProtection="0"/>
    <xf numFmtId="0" fontId="33" fillId="34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3" fillId="35" borderId="0" applyNumberFormat="0" applyBorder="0" applyAlignment="0" applyProtection="0"/>
    <xf numFmtId="0" fontId="34" fillId="3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34" fillId="36" borderId="0" applyNumberFormat="0" applyBorder="0" applyAlignment="0" applyProtection="0"/>
    <xf numFmtId="0" fontId="34" fillId="37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34" fillId="37" borderId="0" applyNumberFormat="0" applyBorder="0" applyAlignment="0" applyProtection="0"/>
    <xf numFmtId="0" fontId="34" fillId="38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34" fillId="38" borderId="0" applyNumberFormat="0" applyBorder="0" applyAlignment="0" applyProtection="0"/>
    <xf numFmtId="0" fontId="34" fillId="39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34" fillId="39" borderId="0" applyNumberFormat="0" applyBorder="0" applyAlignment="0" applyProtection="0"/>
    <xf numFmtId="0" fontId="34" fillId="40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34" fillId="40" borderId="0" applyNumberFormat="0" applyBorder="0" applyAlignment="0" applyProtection="0"/>
    <xf numFmtId="0" fontId="34" fillId="41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34" fillId="41" borderId="0" applyNumberFormat="0" applyBorder="0" applyAlignment="0" applyProtection="0"/>
    <xf numFmtId="0" fontId="35" fillId="0" borderId="0"/>
    <xf numFmtId="0" fontId="35" fillId="0" borderId="0"/>
    <xf numFmtId="0" fontId="35" fillId="0" borderId="0">
      <alignment horizontal="right"/>
    </xf>
    <xf numFmtId="0" fontId="18" fillId="0" borderId="0"/>
    <xf numFmtId="49" fontId="36" fillId="0" borderId="13">
      <alignment vertical="top" wrapText="1"/>
    </xf>
    <xf numFmtId="14" fontId="36" fillId="0" borderId="13">
      <alignment vertical="top" wrapText="1"/>
    </xf>
    <xf numFmtId="0" fontId="37" fillId="42" borderId="13">
      <alignment horizontal="center" vertical="center" wrapText="1"/>
    </xf>
    <xf numFmtId="4" fontId="38" fillId="43" borderId="13">
      <alignment vertical="top" shrinkToFit="1"/>
    </xf>
    <xf numFmtId="0" fontId="39" fillId="43" borderId="13">
      <alignment horizontal="center" vertical="top"/>
    </xf>
    <xf numFmtId="4" fontId="40" fillId="0" borderId="13">
      <alignment vertical="top" shrinkToFit="1"/>
    </xf>
    <xf numFmtId="49" fontId="36" fillId="0" borderId="13">
      <alignment horizontal="center" vertical="top" wrapText="1"/>
    </xf>
    <xf numFmtId="0" fontId="36" fillId="0" borderId="13">
      <alignment horizontal="center" vertical="center" wrapText="1" shrinkToFit="1"/>
    </xf>
    <xf numFmtId="0" fontId="41" fillId="0" borderId="0"/>
    <xf numFmtId="0" fontId="36" fillId="0" borderId="0"/>
    <xf numFmtId="0" fontId="41" fillId="0" borderId="0"/>
    <xf numFmtId="0" fontId="36" fillId="0" borderId="0"/>
    <xf numFmtId="0" fontId="41" fillId="0" borderId="0"/>
    <xf numFmtId="0" fontId="36" fillId="0" borderId="0"/>
    <xf numFmtId="0" fontId="41" fillId="0" borderId="0"/>
    <xf numFmtId="0" fontId="36" fillId="0" borderId="0"/>
    <xf numFmtId="0" fontId="35" fillId="0" borderId="0"/>
    <xf numFmtId="0" fontId="36" fillId="44" borderId="0"/>
    <xf numFmtId="0" fontId="42" fillId="0" borderId="0">
      <alignment horizontal="left" vertical="center" wrapText="1"/>
    </xf>
    <xf numFmtId="0" fontId="42" fillId="0" borderId="0">
      <alignment horizontal="left" vertical="center" wrapText="1"/>
    </xf>
    <xf numFmtId="0" fontId="43" fillId="0" borderId="0">
      <alignment horizontal="center"/>
    </xf>
    <xf numFmtId="0" fontId="36" fillId="0" borderId="13">
      <alignment horizontal="center" vertical="center" wrapText="1"/>
    </xf>
    <xf numFmtId="0" fontId="44" fillId="0" borderId="0">
      <alignment horizontal="center" vertical="center" shrinkToFit="1"/>
    </xf>
    <xf numFmtId="0" fontId="44" fillId="0" borderId="0">
      <alignment horizontal="center" vertical="center" shrinkToFit="1"/>
    </xf>
    <xf numFmtId="0" fontId="36" fillId="0" borderId="0">
      <alignment horizontal="right" wrapText="1"/>
    </xf>
    <xf numFmtId="1" fontId="36" fillId="0" borderId="13">
      <alignment vertical="top" wrapText="1"/>
    </xf>
    <xf numFmtId="0" fontId="36" fillId="0" borderId="14"/>
    <xf numFmtId="0" fontId="36" fillId="0" borderId="14"/>
    <xf numFmtId="0" fontId="36" fillId="0" borderId="0">
      <alignment horizontal="left" wrapText="1"/>
    </xf>
    <xf numFmtId="0" fontId="45" fillId="42" borderId="13">
      <alignment horizontal="center" vertical="center" wrapText="1"/>
    </xf>
    <xf numFmtId="0" fontId="36" fillId="0" borderId="0"/>
    <xf numFmtId="0" fontId="36" fillId="0" borderId="13">
      <alignment horizontal="center" vertical="center" shrinkToFit="1"/>
    </xf>
    <xf numFmtId="0" fontId="36" fillId="0" borderId="13">
      <alignment horizontal="center" vertical="center" shrinkToFit="1"/>
    </xf>
    <xf numFmtId="0" fontId="36" fillId="44" borderId="14"/>
    <xf numFmtId="14" fontId="36" fillId="0" borderId="13">
      <alignment vertical="top"/>
    </xf>
    <xf numFmtId="1" fontId="36" fillId="0" borderId="15">
      <alignment horizontal="center" vertical="top" shrinkToFit="1"/>
    </xf>
    <xf numFmtId="0" fontId="36" fillId="44" borderId="16"/>
    <xf numFmtId="0" fontId="36" fillId="0" borderId="13">
      <alignment horizontal="center" vertical="center" wrapText="1"/>
    </xf>
    <xf numFmtId="0" fontId="36" fillId="44" borderId="16"/>
    <xf numFmtId="0" fontId="36" fillId="0" borderId="13">
      <alignment horizontal="center" vertical="center" wrapText="1"/>
    </xf>
    <xf numFmtId="49" fontId="36" fillId="0" borderId="13">
      <alignment vertical="top"/>
    </xf>
    <xf numFmtId="0" fontId="36" fillId="45" borderId="0"/>
    <xf numFmtId="49" fontId="46" fillId="0" borderId="13">
      <alignment horizontal="left" vertical="top" wrapText="1"/>
    </xf>
    <xf numFmtId="0" fontId="36" fillId="0" borderId="13">
      <alignment horizontal="center" vertical="center" wrapText="1" shrinkToFit="1"/>
    </xf>
    <xf numFmtId="49" fontId="46" fillId="0" borderId="13">
      <alignment horizontal="left" vertical="top" wrapText="1"/>
    </xf>
    <xf numFmtId="0" fontId="36" fillId="44" borderId="16"/>
    <xf numFmtId="4" fontId="36" fillId="0" borderId="13">
      <alignment vertical="top" shrinkToFit="1"/>
    </xf>
    <xf numFmtId="1" fontId="36" fillId="0" borderId="16">
      <alignment horizontal="center" vertical="top" shrinkToFit="1"/>
    </xf>
    <xf numFmtId="0" fontId="36" fillId="44" borderId="17"/>
    <xf numFmtId="49" fontId="36" fillId="0" borderId="13">
      <alignment horizontal="center" vertical="center" wrapText="1" shrinkToFit="1"/>
    </xf>
    <xf numFmtId="0" fontId="36" fillId="44" borderId="17"/>
    <xf numFmtId="49" fontId="36" fillId="0" borderId="13">
      <alignment vertical="top" wrapText="1"/>
    </xf>
    <xf numFmtId="0" fontId="47" fillId="0" borderId="0">
      <alignment horizontal="center" vertical="center" wrapText="1"/>
    </xf>
    <xf numFmtId="0" fontId="36" fillId="0" borderId="13">
      <alignment horizontal="center" vertical="center" wrapText="1"/>
    </xf>
    <xf numFmtId="0" fontId="36" fillId="0" borderId="18"/>
    <xf numFmtId="0" fontId="36" fillId="44" borderId="16"/>
    <xf numFmtId="0" fontId="36" fillId="0" borderId="18"/>
    <xf numFmtId="49" fontId="36" fillId="0" borderId="15">
      <alignment horizontal="center" vertical="top" shrinkToFit="1"/>
    </xf>
    <xf numFmtId="0" fontId="36" fillId="0" borderId="0">
      <alignment horizontal="center" vertical="center" wrapText="1"/>
    </xf>
    <xf numFmtId="1" fontId="36" fillId="0" borderId="19">
      <alignment horizontal="center" vertical="top" shrinkToFit="1"/>
    </xf>
    <xf numFmtId="0" fontId="36" fillId="0" borderId="0"/>
    <xf numFmtId="49" fontId="46" fillId="0" borderId="13">
      <alignment horizontal="left" vertical="top" wrapText="1"/>
    </xf>
    <xf numFmtId="0" fontId="36" fillId="0" borderId="0"/>
    <xf numFmtId="49" fontId="36" fillId="0" borderId="16">
      <alignment horizontal="center" vertical="top" shrinkToFit="1"/>
    </xf>
    <xf numFmtId="0" fontId="36" fillId="0" borderId="0">
      <alignment horizontal="left" vertical="top" wrapText="1"/>
    </xf>
    <xf numFmtId="1" fontId="36" fillId="0" borderId="13">
      <alignment horizontal="center" vertical="top" shrinkToFit="1"/>
    </xf>
    <xf numFmtId="0" fontId="36" fillId="0" borderId="0">
      <alignment horizontal="left" vertical="top" wrapText="1"/>
    </xf>
    <xf numFmtId="49" fontId="36" fillId="0" borderId="15">
      <alignment horizontal="center" vertical="top" shrinkToFit="1"/>
    </xf>
    <xf numFmtId="0" fontId="36" fillId="0" borderId="0">
      <alignment horizontal="left" vertical="top" wrapText="1"/>
    </xf>
    <xf numFmtId="49" fontId="36" fillId="0" borderId="19">
      <alignment horizontal="center" vertical="top" shrinkToFit="1"/>
    </xf>
    <xf numFmtId="0" fontId="39" fillId="43" borderId="13">
      <alignment vertical="top"/>
    </xf>
    <xf numFmtId="0" fontId="39" fillId="0" borderId="17">
      <alignment horizontal="right"/>
    </xf>
    <xf numFmtId="0" fontId="36" fillId="0" borderId="13">
      <alignment horizontal="center" vertical="center" shrinkToFit="1"/>
    </xf>
    <xf numFmtId="49" fontId="36" fillId="0" borderId="16">
      <alignment horizontal="center" vertical="top" shrinkToFit="1"/>
    </xf>
    <xf numFmtId="0" fontId="36" fillId="0" borderId="13">
      <alignment horizontal="center" vertical="center" shrinkToFit="1"/>
    </xf>
    <xf numFmtId="49" fontId="36" fillId="0" borderId="13">
      <alignment horizontal="center" vertical="top" shrinkToFit="1"/>
    </xf>
    <xf numFmtId="4" fontId="39" fillId="43" borderId="13">
      <alignment vertical="top" shrinkToFit="1"/>
    </xf>
    <xf numFmtId="4" fontId="36" fillId="0" borderId="13">
      <alignment horizontal="right" vertical="top" shrinkToFit="1"/>
    </xf>
    <xf numFmtId="0" fontId="36" fillId="0" borderId="13">
      <alignment horizontal="center" vertical="center" wrapText="1"/>
    </xf>
    <xf numFmtId="49" fontId="36" fillId="0" borderId="19">
      <alignment horizontal="center" vertical="top" shrinkToFit="1"/>
    </xf>
    <xf numFmtId="0" fontId="36" fillId="0" borderId="13">
      <alignment horizontal="center" vertical="center" wrapText="1"/>
    </xf>
    <xf numFmtId="4" fontId="36" fillId="0" borderId="13">
      <alignment horizontal="right" vertical="top" shrinkToFit="1"/>
    </xf>
    <xf numFmtId="0" fontId="39" fillId="43" borderId="13">
      <alignment horizontal="right" vertical="top"/>
    </xf>
    <xf numFmtId="0" fontId="36" fillId="44" borderId="0">
      <alignment shrinkToFit="1"/>
    </xf>
    <xf numFmtId="49" fontId="36" fillId="0" borderId="15">
      <alignment horizontal="center" vertical="top" shrinkToFit="1"/>
    </xf>
    <xf numFmtId="4" fontId="46" fillId="0" borderId="13">
      <alignment horizontal="right" vertical="top" shrinkToFit="1"/>
    </xf>
    <xf numFmtId="49" fontId="36" fillId="0" borderId="15">
      <alignment horizontal="center" vertical="top" shrinkToFit="1"/>
    </xf>
    <xf numFmtId="0" fontId="36" fillId="44" borderId="17"/>
    <xf numFmtId="4" fontId="39" fillId="46" borderId="17">
      <alignment horizontal="right" vertical="top" shrinkToFit="1"/>
    </xf>
    <xf numFmtId="0" fontId="46" fillId="0" borderId="13">
      <alignment horizontal="center" vertical="center"/>
    </xf>
    <xf numFmtId="0" fontId="36" fillId="44" borderId="17"/>
    <xf numFmtId="0" fontId="46" fillId="0" borderId="13">
      <alignment horizontal="center" vertical="center"/>
    </xf>
    <xf numFmtId="0" fontId="36" fillId="44" borderId="17">
      <alignment shrinkToFit="1"/>
    </xf>
    <xf numFmtId="166" fontId="36" fillId="0" borderId="13">
      <alignment vertical="top"/>
    </xf>
    <xf numFmtId="4" fontId="39" fillId="47" borderId="17">
      <alignment horizontal="right" vertical="top" shrinkToFit="1"/>
    </xf>
    <xf numFmtId="0" fontId="36" fillId="0" borderId="17"/>
    <xf numFmtId="0" fontId="36" fillId="0" borderId="18"/>
    <xf numFmtId="0" fontId="36" fillId="0" borderId="17"/>
    <xf numFmtId="0" fontId="39" fillId="0" borderId="17">
      <alignment horizontal="right"/>
    </xf>
    <xf numFmtId="0" fontId="43" fillId="0" borderId="0">
      <alignment horizontal="center"/>
    </xf>
    <xf numFmtId="49" fontId="36" fillId="0" borderId="13">
      <alignment horizontal="center" vertical="center" wrapText="1"/>
    </xf>
    <xf numFmtId="0" fontId="46" fillId="0" borderId="13">
      <alignment horizontal="center" vertical="center"/>
    </xf>
    <xf numFmtId="49" fontId="36" fillId="0" borderId="13">
      <alignment horizontal="center" vertical="center" wrapText="1"/>
    </xf>
    <xf numFmtId="4" fontId="39" fillId="46" borderId="17">
      <alignment horizontal="right" vertical="top" shrinkToFit="1"/>
    </xf>
    <xf numFmtId="0" fontId="36" fillId="0" borderId="0">
      <alignment horizontal="right" wrapText="1"/>
    </xf>
    <xf numFmtId="49" fontId="36" fillId="0" borderId="16">
      <alignment horizontal="center" vertical="top" shrinkToFit="1"/>
    </xf>
    <xf numFmtId="4" fontId="46" fillId="46" borderId="13">
      <alignment horizontal="right" vertical="top" shrinkToFit="1"/>
    </xf>
    <xf numFmtId="49" fontId="36" fillId="0" borderId="16">
      <alignment horizontal="center" vertical="top" shrinkToFit="1"/>
    </xf>
    <xf numFmtId="4" fontId="39" fillId="47" borderId="17">
      <alignment horizontal="right" vertical="top" shrinkToFit="1"/>
    </xf>
    <xf numFmtId="0" fontId="36" fillId="0" borderId="0">
      <alignment horizontal="left" wrapText="1"/>
    </xf>
    <xf numFmtId="49" fontId="36" fillId="0" borderId="19">
      <alignment horizontal="center" vertical="top" shrinkToFit="1"/>
    </xf>
    <xf numFmtId="0" fontId="36" fillId="0" borderId="0"/>
    <xf numFmtId="49" fontId="36" fillId="0" borderId="19">
      <alignment horizontal="center" vertical="top" shrinkToFit="1"/>
    </xf>
    <xf numFmtId="0" fontId="36" fillId="0" borderId="0"/>
    <xf numFmtId="0" fontId="36" fillId="0" borderId="0">
      <alignment vertical="top"/>
    </xf>
    <xf numFmtId="4" fontId="46" fillId="0" borderId="13">
      <alignment horizontal="right" vertical="top" shrinkToFit="1"/>
    </xf>
    <xf numFmtId="0" fontId="36" fillId="0" borderId="17"/>
    <xf numFmtId="4" fontId="46" fillId="0" borderId="13">
      <alignment horizontal="right" vertical="top" shrinkToFit="1"/>
    </xf>
    <xf numFmtId="0" fontId="39" fillId="0" borderId="13">
      <alignment vertical="top" wrapText="1"/>
    </xf>
    <xf numFmtId="4" fontId="46" fillId="46" borderId="13">
      <alignment horizontal="right" vertical="top" shrinkToFit="1"/>
    </xf>
    <xf numFmtId="0" fontId="36" fillId="0" borderId="0">
      <alignment horizontal="left" vertical="top" wrapText="1"/>
    </xf>
    <xf numFmtId="4" fontId="46" fillId="46" borderId="13">
      <alignment horizontal="right" vertical="top" shrinkToFit="1"/>
    </xf>
    <xf numFmtId="4" fontId="39" fillId="46" borderId="13">
      <alignment horizontal="right" vertical="top" shrinkToFit="1"/>
    </xf>
    <xf numFmtId="0" fontId="36" fillId="44" borderId="0">
      <alignment horizontal="center"/>
    </xf>
    <xf numFmtId="4" fontId="39" fillId="47" borderId="13">
      <alignment horizontal="right" vertical="top" shrinkToFit="1"/>
    </xf>
    <xf numFmtId="4" fontId="39" fillId="46" borderId="13">
      <alignment horizontal="right" vertical="top" shrinkToFit="1"/>
    </xf>
    <xf numFmtId="0" fontId="36" fillId="44" borderId="16">
      <alignment horizontal="center"/>
    </xf>
    <xf numFmtId="4" fontId="39" fillId="47" borderId="13">
      <alignment horizontal="right" vertical="top" shrinkToFit="1"/>
    </xf>
    <xf numFmtId="0" fontId="36" fillId="44" borderId="17">
      <alignment horizontal="center"/>
    </xf>
    <xf numFmtId="4" fontId="46" fillId="47" borderId="13">
      <alignment horizontal="right" vertical="top" shrinkToFit="1"/>
    </xf>
    <xf numFmtId="0" fontId="34" fillId="4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34" fillId="48" borderId="0" applyNumberFormat="0" applyBorder="0" applyAlignment="0" applyProtection="0"/>
    <xf numFmtId="0" fontId="34" fillId="4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34" fillId="49" borderId="0" applyNumberFormat="0" applyBorder="0" applyAlignment="0" applyProtection="0"/>
    <xf numFmtId="0" fontId="34" fillId="5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34" fillId="50" borderId="0" applyNumberFormat="0" applyBorder="0" applyAlignment="0" applyProtection="0"/>
    <xf numFmtId="0" fontId="34" fillId="51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34" fillId="51" borderId="0" applyNumberFormat="0" applyBorder="0" applyAlignment="0" applyProtection="0"/>
    <xf numFmtId="0" fontId="34" fillId="52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34" fillId="52" borderId="0" applyNumberFormat="0" applyBorder="0" applyAlignment="0" applyProtection="0"/>
    <xf numFmtId="0" fontId="34" fillId="53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34" fillId="53" borderId="0" applyNumberFormat="0" applyBorder="0" applyAlignment="0" applyProtection="0"/>
    <xf numFmtId="0" fontId="19" fillId="0" borderId="1">
      <alignment horizontal="left" vertical="center" wrapText="1"/>
    </xf>
    <xf numFmtId="0" fontId="20" fillId="0" borderId="1">
      <alignment horizontal="left" vertical="center" wrapText="1" indent="1"/>
    </xf>
    <xf numFmtId="0" fontId="48" fillId="54" borderId="20" applyNumberFormat="0" applyAlignment="0" applyProtection="0"/>
    <xf numFmtId="0" fontId="7" fillId="2" borderId="2" applyNumberFormat="0" applyAlignment="0" applyProtection="0"/>
    <xf numFmtId="0" fontId="7" fillId="2" borderId="2" applyNumberFormat="0" applyAlignment="0" applyProtection="0"/>
    <xf numFmtId="0" fontId="7" fillId="2" borderId="2" applyNumberFormat="0" applyAlignment="0" applyProtection="0"/>
    <xf numFmtId="0" fontId="7" fillId="2" borderId="2" applyNumberFormat="0" applyAlignment="0" applyProtection="0"/>
    <xf numFmtId="0" fontId="7" fillId="2" borderId="2" applyNumberFormat="0" applyAlignment="0" applyProtection="0"/>
    <xf numFmtId="0" fontId="7" fillId="2" borderId="2" applyNumberFormat="0" applyAlignment="0" applyProtection="0"/>
    <xf numFmtId="0" fontId="7" fillId="2" borderId="2" applyNumberFormat="0" applyAlignment="0" applyProtection="0"/>
    <xf numFmtId="0" fontId="7" fillId="2" borderId="2" applyNumberFormat="0" applyAlignment="0" applyProtection="0"/>
    <xf numFmtId="0" fontId="7" fillId="2" borderId="2" applyNumberFormat="0" applyAlignment="0" applyProtection="0"/>
    <xf numFmtId="0" fontId="7" fillId="2" borderId="2" applyNumberFormat="0" applyAlignment="0" applyProtection="0"/>
    <xf numFmtId="0" fontId="7" fillId="2" borderId="2" applyNumberFormat="0" applyAlignment="0" applyProtection="0"/>
    <xf numFmtId="0" fontId="7" fillId="2" borderId="2" applyNumberFormat="0" applyAlignment="0" applyProtection="0"/>
    <xf numFmtId="0" fontId="7" fillId="2" borderId="2" applyNumberFormat="0" applyAlignment="0" applyProtection="0"/>
    <xf numFmtId="0" fontId="7" fillId="2" borderId="2" applyNumberFormat="0" applyAlignment="0" applyProtection="0"/>
    <xf numFmtId="0" fontId="7" fillId="2" borderId="2" applyNumberFormat="0" applyAlignment="0" applyProtection="0"/>
    <xf numFmtId="0" fontId="7" fillId="2" borderId="2" applyNumberFormat="0" applyAlignment="0" applyProtection="0"/>
    <xf numFmtId="0" fontId="48" fillId="54" borderId="20" applyNumberFormat="0" applyAlignment="0" applyProtection="0"/>
    <xf numFmtId="0" fontId="49" fillId="55" borderId="21" applyNumberFormat="0" applyAlignment="0" applyProtection="0"/>
    <xf numFmtId="0" fontId="8" fillId="10" borderId="3" applyNumberFormat="0" applyAlignment="0" applyProtection="0"/>
    <xf numFmtId="0" fontId="8" fillId="10" borderId="3" applyNumberFormat="0" applyAlignment="0" applyProtection="0"/>
    <xf numFmtId="0" fontId="8" fillId="10" borderId="3" applyNumberFormat="0" applyAlignment="0" applyProtection="0"/>
    <xf numFmtId="0" fontId="8" fillId="10" borderId="3" applyNumberFormat="0" applyAlignment="0" applyProtection="0"/>
    <xf numFmtId="0" fontId="8" fillId="10" borderId="3" applyNumberFormat="0" applyAlignment="0" applyProtection="0"/>
    <xf numFmtId="0" fontId="8" fillId="10" borderId="3" applyNumberFormat="0" applyAlignment="0" applyProtection="0"/>
    <xf numFmtId="0" fontId="8" fillId="10" borderId="3" applyNumberFormat="0" applyAlignment="0" applyProtection="0"/>
    <xf numFmtId="0" fontId="8" fillId="10" borderId="3" applyNumberFormat="0" applyAlignment="0" applyProtection="0"/>
    <xf numFmtId="0" fontId="8" fillId="10" borderId="3" applyNumberFormat="0" applyAlignment="0" applyProtection="0"/>
    <xf numFmtId="0" fontId="8" fillId="10" borderId="3" applyNumberFormat="0" applyAlignment="0" applyProtection="0"/>
    <xf numFmtId="0" fontId="8" fillId="10" borderId="3" applyNumberFormat="0" applyAlignment="0" applyProtection="0"/>
    <xf numFmtId="0" fontId="8" fillId="10" borderId="3" applyNumberFormat="0" applyAlignment="0" applyProtection="0"/>
    <xf numFmtId="0" fontId="8" fillId="10" borderId="3" applyNumberFormat="0" applyAlignment="0" applyProtection="0"/>
    <xf numFmtId="0" fontId="8" fillId="10" borderId="3" applyNumberFormat="0" applyAlignment="0" applyProtection="0"/>
    <xf numFmtId="0" fontId="8" fillId="10" borderId="3" applyNumberFormat="0" applyAlignment="0" applyProtection="0"/>
    <xf numFmtId="0" fontId="8" fillId="10" borderId="3" applyNumberFormat="0" applyAlignment="0" applyProtection="0"/>
    <xf numFmtId="0" fontId="49" fillId="55" borderId="21" applyNumberFormat="0" applyAlignment="0" applyProtection="0"/>
    <xf numFmtId="0" fontId="50" fillId="55" borderId="20" applyNumberFormat="0" applyAlignment="0" applyProtection="0"/>
    <xf numFmtId="0" fontId="9" fillId="10" borderId="2" applyNumberFormat="0" applyAlignment="0" applyProtection="0"/>
    <xf numFmtId="0" fontId="9" fillId="10" borderId="2" applyNumberFormat="0" applyAlignment="0" applyProtection="0"/>
    <xf numFmtId="0" fontId="9" fillId="10" borderId="2" applyNumberFormat="0" applyAlignment="0" applyProtection="0"/>
    <xf numFmtId="0" fontId="9" fillId="10" borderId="2" applyNumberFormat="0" applyAlignment="0" applyProtection="0"/>
    <xf numFmtId="0" fontId="9" fillId="10" borderId="2" applyNumberFormat="0" applyAlignment="0" applyProtection="0"/>
    <xf numFmtId="0" fontId="9" fillId="10" borderId="2" applyNumberFormat="0" applyAlignment="0" applyProtection="0"/>
    <xf numFmtId="0" fontId="9" fillId="10" borderId="2" applyNumberFormat="0" applyAlignment="0" applyProtection="0"/>
    <xf numFmtId="0" fontId="9" fillId="10" borderId="2" applyNumberFormat="0" applyAlignment="0" applyProtection="0"/>
    <xf numFmtId="0" fontId="9" fillId="10" borderId="2" applyNumberFormat="0" applyAlignment="0" applyProtection="0"/>
    <xf numFmtId="0" fontId="9" fillId="10" borderId="2" applyNumberFormat="0" applyAlignment="0" applyProtection="0"/>
    <xf numFmtId="0" fontId="9" fillId="10" borderId="2" applyNumberFormat="0" applyAlignment="0" applyProtection="0"/>
    <xf numFmtId="0" fontId="9" fillId="10" borderId="2" applyNumberFormat="0" applyAlignment="0" applyProtection="0"/>
    <xf numFmtId="0" fontId="9" fillId="10" borderId="2" applyNumberFormat="0" applyAlignment="0" applyProtection="0"/>
    <xf numFmtId="0" fontId="9" fillId="10" borderId="2" applyNumberFormat="0" applyAlignment="0" applyProtection="0"/>
    <xf numFmtId="0" fontId="9" fillId="10" borderId="2" applyNumberFormat="0" applyAlignment="0" applyProtection="0"/>
    <xf numFmtId="0" fontId="9" fillId="10" borderId="2" applyNumberFormat="0" applyAlignment="0" applyProtection="0"/>
    <xf numFmtId="0" fontId="50" fillId="55" borderId="20" applyNumberFormat="0" applyAlignment="0" applyProtection="0"/>
    <xf numFmtId="0" fontId="51" fillId="0" borderId="22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52" fillId="0" borderId="23" applyNumberFormat="0" applyFill="0" applyAlignment="0" applyProtection="0"/>
    <xf numFmtId="0" fontId="53" fillId="0" borderId="24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53" fillId="0" borderId="24" applyNumberFormat="0" applyFill="0" applyAlignment="0" applyProtection="0"/>
    <xf numFmtId="0" fontId="5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25" applyNumberFormat="0" applyFill="0" applyAlignment="0" applyProtection="0"/>
    <xf numFmtId="0" fontId="3" fillId="0" borderId="7" applyNumberFormat="0" applyFill="0" applyAlignment="0" applyProtection="0"/>
    <xf numFmtId="0" fontId="3" fillId="0" borderId="7" applyNumberFormat="0" applyFill="0" applyAlignment="0" applyProtection="0"/>
    <xf numFmtId="0" fontId="3" fillId="0" borderId="7" applyNumberFormat="0" applyFill="0" applyAlignment="0" applyProtection="0"/>
    <xf numFmtId="0" fontId="3" fillId="0" borderId="7" applyNumberFormat="0" applyFill="0" applyAlignment="0" applyProtection="0"/>
    <xf numFmtId="0" fontId="3" fillId="0" borderId="7" applyNumberFormat="0" applyFill="0" applyAlignment="0" applyProtection="0"/>
    <xf numFmtId="0" fontId="3" fillId="0" borderId="7" applyNumberFormat="0" applyFill="0" applyAlignment="0" applyProtection="0"/>
    <xf numFmtId="0" fontId="3" fillId="0" borderId="7" applyNumberFormat="0" applyFill="0" applyAlignment="0" applyProtection="0"/>
    <xf numFmtId="0" fontId="3" fillId="0" borderId="7" applyNumberFormat="0" applyFill="0" applyAlignment="0" applyProtection="0"/>
    <xf numFmtId="0" fontId="3" fillId="0" borderId="7" applyNumberFormat="0" applyFill="0" applyAlignment="0" applyProtection="0"/>
    <xf numFmtId="0" fontId="3" fillId="0" borderId="7" applyNumberFormat="0" applyFill="0" applyAlignment="0" applyProtection="0"/>
    <xf numFmtId="0" fontId="3" fillId="0" borderId="7" applyNumberFormat="0" applyFill="0" applyAlignment="0" applyProtection="0"/>
    <xf numFmtId="0" fontId="3" fillId="0" borderId="7" applyNumberFormat="0" applyFill="0" applyAlignment="0" applyProtection="0"/>
    <xf numFmtId="0" fontId="3" fillId="0" borderId="7" applyNumberFormat="0" applyFill="0" applyAlignment="0" applyProtection="0"/>
    <xf numFmtId="0" fontId="3" fillId="0" borderId="7" applyNumberFormat="0" applyFill="0" applyAlignment="0" applyProtection="0"/>
    <xf numFmtId="0" fontId="3" fillId="0" borderId="7" applyNumberFormat="0" applyFill="0" applyAlignment="0" applyProtection="0"/>
    <xf numFmtId="0" fontId="3" fillId="0" borderId="7" applyNumberFormat="0" applyFill="0" applyAlignment="0" applyProtection="0"/>
    <xf numFmtId="0" fontId="54" fillId="0" borderId="25" applyNumberFormat="0" applyFill="0" applyAlignment="0" applyProtection="0"/>
    <xf numFmtId="0" fontId="55" fillId="56" borderId="26" applyNumberFormat="0" applyAlignment="0" applyProtection="0"/>
    <xf numFmtId="0" fontId="10" fillId="23" borderId="8" applyNumberFormat="0" applyAlignment="0" applyProtection="0"/>
    <xf numFmtId="0" fontId="10" fillId="23" borderId="8" applyNumberFormat="0" applyAlignment="0" applyProtection="0"/>
    <xf numFmtId="0" fontId="10" fillId="23" borderId="8" applyNumberFormat="0" applyAlignment="0" applyProtection="0"/>
    <xf numFmtId="0" fontId="10" fillId="23" borderId="8" applyNumberFormat="0" applyAlignment="0" applyProtection="0"/>
    <xf numFmtId="0" fontId="10" fillId="23" borderId="8" applyNumberFormat="0" applyAlignment="0" applyProtection="0"/>
    <xf numFmtId="0" fontId="10" fillId="23" borderId="8" applyNumberFormat="0" applyAlignment="0" applyProtection="0"/>
    <xf numFmtId="0" fontId="10" fillId="23" borderId="8" applyNumberFormat="0" applyAlignment="0" applyProtection="0"/>
    <xf numFmtId="0" fontId="10" fillId="23" borderId="8" applyNumberFormat="0" applyAlignment="0" applyProtection="0"/>
    <xf numFmtId="0" fontId="10" fillId="23" borderId="8" applyNumberFormat="0" applyAlignment="0" applyProtection="0"/>
    <xf numFmtId="0" fontId="10" fillId="23" borderId="8" applyNumberFormat="0" applyAlignment="0" applyProtection="0"/>
    <xf numFmtId="0" fontId="10" fillId="23" borderId="8" applyNumberFormat="0" applyAlignment="0" applyProtection="0"/>
    <xf numFmtId="0" fontId="10" fillId="23" borderId="8" applyNumberFormat="0" applyAlignment="0" applyProtection="0"/>
    <xf numFmtId="0" fontId="10" fillId="23" borderId="8" applyNumberFormat="0" applyAlignment="0" applyProtection="0"/>
    <xf numFmtId="0" fontId="10" fillId="23" borderId="8" applyNumberFormat="0" applyAlignment="0" applyProtection="0"/>
    <xf numFmtId="0" fontId="10" fillId="23" borderId="8" applyNumberFormat="0" applyAlignment="0" applyProtection="0"/>
    <xf numFmtId="0" fontId="10" fillId="23" borderId="8" applyNumberFormat="0" applyAlignment="0" applyProtection="0"/>
    <xf numFmtId="0" fontId="55" fillId="56" borderId="26" applyNumberFormat="0" applyAlignment="0" applyProtection="0"/>
    <xf numFmtId="0" fontId="56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57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57" fillId="57" borderId="0" applyNumberFormat="0" applyBorder="0" applyAlignment="0" applyProtection="0"/>
    <xf numFmtId="0" fontId="31" fillId="0" borderId="0"/>
    <xf numFmtId="0" fontId="31" fillId="0" borderId="0"/>
    <xf numFmtId="0" fontId="35" fillId="0" borderId="0"/>
    <xf numFmtId="0" fontId="4" fillId="0" borderId="0"/>
    <xf numFmtId="0" fontId="32" fillId="0" borderId="0"/>
    <xf numFmtId="0" fontId="2" fillId="0" borderId="0"/>
    <xf numFmtId="0" fontId="2" fillId="0" borderId="0"/>
    <xf numFmtId="0" fontId="1" fillId="0" borderId="0"/>
    <xf numFmtId="0" fontId="58" fillId="58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58" fillId="58" borderId="0" applyNumberFormat="0" applyBorder="0" applyAlignment="0" applyProtection="0"/>
    <xf numFmtId="0" fontId="59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33" fillId="43" borderId="27" applyNumberFormat="0" applyFont="0" applyAlignment="0" applyProtection="0"/>
    <xf numFmtId="0" fontId="33" fillId="43" borderId="27" applyNumberFormat="0" applyFont="0" applyAlignment="0" applyProtection="0"/>
    <xf numFmtId="0" fontId="33" fillId="43" borderId="27" applyNumberFormat="0" applyFont="0" applyAlignment="0" applyProtection="0"/>
    <xf numFmtId="0" fontId="33" fillId="43" borderId="27" applyNumberFormat="0" applyFont="0" applyAlignment="0" applyProtection="0"/>
    <xf numFmtId="0" fontId="33" fillId="43" borderId="27" applyNumberFormat="0" applyFont="0" applyAlignment="0" applyProtection="0"/>
    <xf numFmtId="0" fontId="33" fillId="43" borderId="27" applyNumberFormat="0" applyFont="0" applyAlignment="0" applyProtection="0"/>
    <xf numFmtId="0" fontId="33" fillId="43" borderId="27" applyNumberFormat="0" applyFont="0" applyAlignment="0" applyProtection="0"/>
    <xf numFmtId="0" fontId="33" fillId="43" borderId="27" applyNumberFormat="0" applyFont="0" applyAlignment="0" applyProtection="0"/>
    <xf numFmtId="0" fontId="33" fillId="43" borderId="27" applyNumberFormat="0" applyFont="0" applyAlignment="0" applyProtection="0"/>
    <xf numFmtId="0" fontId="33" fillId="43" borderId="27" applyNumberFormat="0" applyFont="0" applyAlignment="0" applyProtection="0"/>
    <xf numFmtId="0" fontId="33" fillId="43" borderId="27" applyNumberFormat="0" applyFont="0" applyAlignment="0" applyProtection="0"/>
    <xf numFmtId="0" fontId="33" fillId="43" borderId="27" applyNumberFormat="0" applyFont="0" applyAlignment="0" applyProtection="0"/>
    <xf numFmtId="0" fontId="5" fillId="6" borderId="9" applyNumberFormat="0" applyFont="0" applyAlignment="0" applyProtection="0"/>
    <xf numFmtId="0" fontId="5" fillId="6" borderId="9" applyNumberFormat="0" applyFont="0" applyAlignment="0" applyProtection="0"/>
    <xf numFmtId="0" fontId="5" fillId="6" borderId="9" applyNumberFormat="0" applyFont="0" applyAlignment="0" applyProtection="0"/>
    <xf numFmtId="0" fontId="5" fillId="6" borderId="9" applyNumberFormat="0" applyFont="0" applyAlignment="0" applyProtection="0"/>
    <xf numFmtId="0" fontId="5" fillId="6" borderId="9" applyNumberFormat="0" applyFont="0" applyAlignment="0" applyProtection="0"/>
    <xf numFmtId="0" fontId="5" fillId="6" borderId="9" applyNumberFormat="0" applyFont="0" applyAlignment="0" applyProtection="0"/>
    <xf numFmtId="0" fontId="5" fillId="6" borderId="9" applyNumberFormat="0" applyFont="0" applyAlignment="0" applyProtection="0"/>
    <xf numFmtId="0" fontId="5" fillId="6" borderId="9" applyNumberFormat="0" applyFont="0" applyAlignment="0" applyProtection="0"/>
    <xf numFmtId="0" fontId="5" fillId="6" borderId="9" applyNumberFormat="0" applyFont="0" applyAlignment="0" applyProtection="0"/>
    <xf numFmtId="0" fontId="5" fillId="6" borderId="9" applyNumberFormat="0" applyFont="0" applyAlignment="0" applyProtection="0"/>
    <xf numFmtId="0" fontId="5" fillId="6" borderId="9" applyNumberFormat="0" applyFont="0" applyAlignment="0" applyProtection="0"/>
    <xf numFmtId="0" fontId="5" fillId="6" borderId="9" applyNumberFormat="0" applyFont="0" applyAlignment="0" applyProtection="0"/>
    <xf numFmtId="0" fontId="5" fillId="6" borderId="9" applyNumberFormat="0" applyFont="0" applyAlignment="0" applyProtection="0"/>
    <xf numFmtId="0" fontId="5" fillId="6" borderId="9" applyNumberFormat="0" applyFont="0" applyAlignment="0" applyProtection="0"/>
    <xf numFmtId="0" fontId="5" fillId="6" borderId="9" applyNumberFormat="0" applyFont="0" applyAlignment="0" applyProtection="0"/>
    <xf numFmtId="0" fontId="5" fillId="6" borderId="9" applyNumberFormat="0" applyFont="0" applyAlignment="0" applyProtection="0"/>
    <xf numFmtId="0" fontId="33" fillId="43" borderId="27" applyNumberFormat="0" applyFont="0" applyAlignment="0" applyProtection="0"/>
    <xf numFmtId="0" fontId="33" fillId="43" borderId="27" applyNumberFormat="0" applyFont="0" applyAlignment="0" applyProtection="0"/>
    <xf numFmtId="0" fontId="33" fillId="43" borderId="27" applyNumberFormat="0" applyFont="0" applyAlignment="0" applyProtection="0"/>
    <xf numFmtId="0" fontId="33" fillId="43" borderId="27" applyNumberFormat="0" applyFont="0" applyAlignment="0" applyProtection="0"/>
    <xf numFmtId="0" fontId="60" fillId="0" borderId="28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14" fillId="0" borderId="10" applyNumberFormat="0" applyFill="0" applyAlignment="0" applyProtection="0"/>
    <xf numFmtId="0" fontId="60" fillId="0" borderId="28" applyNumberFormat="0" applyFill="0" applyAlignment="0" applyProtection="0"/>
    <xf numFmtId="0" fontId="25" fillId="0" borderId="0"/>
    <xf numFmtId="0" fontId="6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3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62" fillId="59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62" fillId="59" borderId="0" applyNumberFormat="0" applyBorder="0" applyAlignment="0" applyProtection="0"/>
    <xf numFmtId="0" fontId="1" fillId="0" borderId="0"/>
  </cellStyleXfs>
  <cellXfs count="124">
    <xf numFmtId="0" fontId="0" fillId="0" borderId="0" xfId="0"/>
    <xf numFmtId="0" fontId="27" fillId="0" borderId="0" xfId="0" applyFont="1" applyFill="1" applyAlignment="1">
      <alignment vertical="center"/>
    </xf>
    <xf numFmtId="0" fontId="26" fillId="0" borderId="0" xfId="0" applyFont="1" applyFill="1" applyAlignment="1">
      <alignment vertical="center"/>
    </xf>
    <xf numFmtId="4" fontId="27" fillId="0" borderId="0" xfId="884" applyNumberFormat="1" applyFont="1" applyFill="1" applyAlignment="1">
      <alignment horizontal="right" vertical="center"/>
    </xf>
    <xf numFmtId="4" fontId="27" fillId="60" borderId="11" xfId="777" applyNumberFormat="1" applyFont="1" applyFill="1" applyBorder="1" applyAlignment="1">
      <alignment horizontal="right" vertical="center"/>
    </xf>
    <xf numFmtId="0" fontId="26" fillId="60" borderId="0" xfId="0" applyFont="1" applyFill="1" applyBorder="1" applyAlignment="1">
      <alignment vertical="center"/>
    </xf>
    <xf numFmtId="4" fontId="26" fillId="60" borderId="11" xfId="884" applyNumberFormat="1" applyFont="1" applyFill="1" applyBorder="1" applyAlignment="1">
      <alignment horizontal="center" vertical="center" wrapText="1"/>
    </xf>
    <xf numFmtId="4" fontId="26" fillId="60" borderId="11" xfId="884" applyNumberFormat="1" applyFont="1" applyFill="1" applyBorder="1" applyAlignment="1">
      <alignment horizontal="right" vertical="center"/>
    </xf>
    <xf numFmtId="4" fontId="26" fillId="60" borderId="11" xfId="884" applyNumberFormat="1" applyFont="1" applyFill="1" applyBorder="1" applyAlignment="1" applyProtection="1">
      <alignment horizontal="right" vertical="center"/>
      <protection locked="0"/>
    </xf>
    <xf numFmtId="4" fontId="27" fillId="60" borderId="11" xfId="884" applyNumberFormat="1" applyFont="1" applyFill="1" applyBorder="1" applyAlignment="1">
      <alignment horizontal="right" vertical="center"/>
    </xf>
    <xf numFmtId="4" fontId="28" fillId="60" borderId="11" xfId="884" applyNumberFormat="1" applyFont="1" applyFill="1" applyBorder="1" applyAlignment="1">
      <alignment horizontal="right" vertical="center"/>
    </xf>
    <xf numFmtId="4" fontId="28" fillId="60" borderId="11" xfId="884" applyNumberFormat="1" applyFont="1" applyFill="1" applyBorder="1" applyAlignment="1" applyProtection="1">
      <alignment horizontal="right" vertical="center"/>
      <protection locked="0"/>
    </xf>
    <xf numFmtId="4" fontId="27" fillId="60" borderId="11" xfId="884" applyNumberFormat="1" applyFont="1" applyFill="1" applyBorder="1" applyAlignment="1" applyProtection="1">
      <alignment horizontal="right" vertical="center"/>
      <protection locked="0"/>
    </xf>
    <xf numFmtId="4" fontId="28" fillId="60" borderId="11" xfId="884" applyNumberFormat="1" applyFont="1" applyFill="1" applyBorder="1" applyAlignment="1">
      <alignment horizontal="right" vertical="center" wrapText="1"/>
    </xf>
    <xf numFmtId="4" fontId="27" fillId="60" borderId="11" xfId="884" applyNumberFormat="1" applyFont="1" applyFill="1" applyBorder="1" applyAlignment="1">
      <alignment horizontal="right" vertical="center" wrapText="1"/>
    </xf>
    <xf numFmtId="4" fontId="26" fillId="60" borderId="11" xfId="777" applyNumberFormat="1" applyFont="1" applyFill="1" applyBorder="1" applyAlignment="1">
      <alignment horizontal="right" vertical="center"/>
    </xf>
    <xf numFmtId="4" fontId="27" fillId="60" borderId="11" xfId="0" applyNumberFormat="1" applyFont="1" applyFill="1" applyBorder="1" applyAlignment="1">
      <alignment horizontal="right" vertical="center"/>
    </xf>
    <xf numFmtId="4" fontId="28" fillId="60" borderId="11" xfId="777" applyNumberFormat="1" applyFont="1" applyFill="1" applyBorder="1" applyAlignment="1">
      <alignment horizontal="right" vertical="center"/>
    </xf>
    <xf numFmtId="4" fontId="28" fillId="60" borderId="11" xfId="885" applyNumberFormat="1" applyFont="1" applyFill="1" applyBorder="1" applyAlignment="1">
      <alignment horizontal="right" vertical="center"/>
    </xf>
    <xf numFmtId="4" fontId="27" fillId="60" borderId="0" xfId="884" applyNumberFormat="1" applyFont="1" applyFill="1" applyAlignment="1">
      <alignment horizontal="right" vertical="center"/>
    </xf>
    <xf numFmtId="4" fontId="27" fillId="60" borderId="0" xfId="884" applyNumberFormat="1" applyFont="1" applyFill="1" applyBorder="1" applyAlignment="1">
      <alignment horizontal="right" vertical="center"/>
    </xf>
    <xf numFmtId="4" fontId="26" fillId="60" borderId="11" xfId="884" applyNumberFormat="1" applyFont="1" applyFill="1" applyBorder="1" applyAlignment="1">
      <alignment vertical="center" wrapText="1"/>
    </xf>
    <xf numFmtId="4" fontId="27" fillId="60" borderId="11" xfId="885" applyNumberFormat="1" applyFont="1" applyFill="1" applyBorder="1" applyAlignment="1">
      <alignment horizontal="right" vertical="center"/>
    </xf>
    <xf numFmtId="4" fontId="63" fillId="60" borderId="11" xfId="777" applyNumberFormat="1" applyFont="1" applyFill="1" applyBorder="1" applyAlignment="1">
      <alignment horizontal="right" vertical="center"/>
    </xf>
    <xf numFmtId="3" fontId="26" fillId="60" borderId="11" xfId="0" applyNumberFormat="1" applyFont="1" applyFill="1" applyBorder="1" applyAlignment="1">
      <alignment vertical="top" wrapText="1"/>
    </xf>
    <xf numFmtId="0" fontId="26" fillId="60" borderId="11" xfId="0" applyNumberFormat="1" applyFont="1" applyFill="1" applyBorder="1" applyAlignment="1">
      <alignment vertical="top" wrapText="1"/>
    </xf>
    <xf numFmtId="3" fontId="27" fillId="60" borderId="11" xfId="0" applyNumberFormat="1" applyFont="1" applyFill="1" applyBorder="1" applyAlignment="1">
      <alignment vertical="top" wrapText="1"/>
    </xf>
    <xf numFmtId="0" fontId="27" fillId="60" borderId="11" xfId="0" applyNumberFormat="1" applyFont="1" applyFill="1" applyBorder="1" applyAlignment="1">
      <alignment vertical="top" wrapText="1"/>
    </xf>
    <xf numFmtId="4" fontId="68" fillId="60" borderId="11" xfId="777" applyNumberFormat="1" applyFont="1" applyFill="1" applyBorder="1" applyAlignment="1">
      <alignment horizontal="right" vertical="center"/>
    </xf>
    <xf numFmtId="4" fontId="67" fillId="60" borderId="11" xfId="777" applyNumberFormat="1" applyFont="1" applyFill="1" applyBorder="1" applyAlignment="1">
      <alignment horizontal="right" vertical="center"/>
    </xf>
    <xf numFmtId="0" fontId="27" fillId="60" borderId="0" xfId="0" applyFont="1" applyFill="1" applyAlignment="1">
      <alignment horizontal="center" vertical="center"/>
    </xf>
    <xf numFmtId="0" fontId="27" fillId="60" borderId="0" xfId="0" applyFont="1" applyFill="1" applyAlignment="1">
      <alignment vertical="center"/>
    </xf>
    <xf numFmtId="9" fontId="27" fillId="60" borderId="0" xfId="0" applyNumberFormat="1" applyFont="1" applyFill="1" applyAlignment="1">
      <alignment horizontal="center" vertical="center"/>
    </xf>
    <xf numFmtId="4" fontId="27" fillId="60" borderId="0" xfId="0" applyNumberFormat="1" applyFont="1" applyFill="1" applyAlignment="1">
      <alignment vertical="center"/>
    </xf>
    <xf numFmtId="0" fontId="30" fillId="60" borderId="0" xfId="0" applyFont="1" applyFill="1" applyBorder="1" applyAlignment="1">
      <alignment vertical="center"/>
    </xf>
    <xf numFmtId="3" fontId="27" fillId="60" borderId="0" xfId="0" applyNumberFormat="1" applyFont="1" applyFill="1" applyAlignment="1">
      <alignment horizontal="right" vertical="center"/>
    </xf>
    <xf numFmtId="0" fontId="30" fillId="60" borderId="0" xfId="0" applyFont="1" applyFill="1" applyBorder="1" applyAlignment="1">
      <alignment horizontal="center" vertical="center"/>
    </xf>
    <xf numFmtId="0" fontId="28" fillId="60" borderId="0" xfId="0" applyFont="1" applyFill="1" applyBorder="1" applyAlignment="1">
      <alignment horizontal="center" vertical="center"/>
    </xf>
    <xf numFmtId="0" fontId="26" fillId="60" borderId="0" xfId="0" applyFont="1" applyFill="1" applyAlignment="1">
      <alignment horizontal="center" vertical="center"/>
    </xf>
    <xf numFmtId="0" fontId="26" fillId="60" borderId="12" xfId="0" applyFont="1" applyFill="1" applyBorder="1" applyAlignment="1">
      <alignment horizontal="center" vertical="center"/>
    </xf>
    <xf numFmtId="0" fontId="26" fillId="60" borderId="11" xfId="0" applyFont="1" applyFill="1" applyBorder="1" applyAlignment="1">
      <alignment horizontal="center" vertical="center" wrapText="1"/>
    </xf>
    <xf numFmtId="0" fontId="26" fillId="60" borderId="11" xfId="0" applyFont="1" applyFill="1" applyBorder="1" applyAlignment="1">
      <alignment horizontal="center" vertical="center"/>
    </xf>
    <xf numFmtId="9" fontId="26" fillId="60" borderId="11" xfId="0" applyNumberFormat="1" applyFont="1" applyFill="1" applyBorder="1" applyAlignment="1">
      <alignment horizontal="center" vertical="center" wrapText="1"/>
    </xf>
    <xf numFmtId="9" fontId="26" fillId="60" borderId="11" xfId="0" applyNumberFormat="1" applyFont="1" applyFill="1" applyBorder="1" applyAlignment="1">
      <alignment horizontal="center" vertical="center"/>
    </xf>
    <xf numFmtId="4" fontId="26" fillId="60" borderId="11" xfId="0" applyNumberFormat="1" applyFont="1" applyFill="1" applyBorder="1" applyAlignment="1">
      <alignment vertical="center"/>
    </xf>
    <xf numFmtId="4" fontId="26" fillId="60" borderId="0" xfId="0" applyNumberFormat="1" applyFont="1" applyFill="1" applyAlignment="1">
      <alignment vertical="center"/>
    </xf>
    <xf numFmtId="0" fontId="26" fillId="60" borderId="0" xfId="0" applyFont="1" applyFill="1" applyAlignment="1">
      <alignment vertical="center"/>
    </xf>
    <xf numFmtId="164" fontId="26" fillId="60" borderId="11" xfId="0" applyNumberFormat="1" applyFont="1" applyFill="1" applyBorder="1" applyAlignment="1">
      <alignment horizontal="center" vertical="center"/>
    </xf>
    <xf numFmtId="0" fontId="26" fillId="60" borderId="11" xfId="0" applyFont="1" applyFill="1" applyBorder="1" applyAlignment="1">
      <alignment vertical="center"/>
    </xf>
    <xf numFmtId="4" fontId="27" fillId="60" borderId="11" xfId="0" applyNumberFormat="1" applyFont="1" applyFill="1" applyBorder="1" applyAlignment="1">
      <alignment vertical="center"/>
    </xf>
    <xf numFmtId="164" fontId="27" fillId="60" borderId="11" xfId="0" applyNumberFormat="1" applyFont="1" applyFill="1" applyBorder="1" applyAlignment="1">
      <alignment horizontal="center" vertical="center"/>
    </xf>
    <xf numFmtId="0" fontId="27" fillId="60" borderId="11" xfId="0" applyFont="1" applyFill="1" applyBorder="1" applyAlignment="1">
      <alignment horizontal="center" vertical="center"/>
    </xf>
    <xf numFmtId="0" fontId="27" fillId="60" borderId="11" xfId="0" applyFont="1" applyFill="1" applyBorder="1" applyAlignment="1">
      <alignment vertical="center"/>
    </xf>
    <xf numFmtId="9" fontId="27" fillId="60" borderId="11" xfId="0" applyNumberFormat="1" applyFont="1" applyFill="1" applyBorder="1" applyAlignment="1">
      <alignment horizontal="center" vertical="center"/>
    </xf>
    <xf numFmtId="0" fontId="28" fillId="60" borderId="0" xfId="0" applyFont="1" applyFill="1" applyAlignment="1">
      <alignment horizontal="center" vertical="center"/>
    </xf>
    <xf numFmtId="0" fontId="28" fillId="60" borderId="11" xfId="0" applyFont="1" applyFill="1" applyBorder="1" applyAlignment="1">
      <alignment horizontal="center" vertical="center"/>
    </xf>
    <xf numFmtId="0" fontId="28" fillId="60" borderId="11" xfId="0" quotePrefix="1" applyFont="1" applyFill="1" applyBorder="1" applyAlignment="1">
      <alignment vertical="top" wrapText="1"/>
    </xf>
    <xf numFmtId="9" fontId="28" fillId="60" borderId="11" xfId="0" applyNumberFormat="1" applyFont="1" applyFill="1" applyBorder="1" applyAlignment="1">
      <alignment horizontal="center" vertical="center"/>
    </xf>
    <xf numFmtId="4" fontId="28" fillId="60" borderId="11" xfId="0" applyNumberFormat="1" applyFont="1" applyFill="1" applyBorder="1" applyAlignment="1">
      <alignment vertical="center"/>
    </xf>
    <xf numFmtId="4" fontId="28" fillId="60" borderId="0" xfId="0" applyNumberFormat="1" applyFont="1" applyFill="1" applyAlignment="1">
      <alignment vertical="center"/>
    </xf>
    <xf numFmtId="0" fontId="28" fillId="60" borderId="0" xfId="0" applyFont="1" applyFill="1" applyAlignment="1">
      <alignment vertical="center"/>
    </xf>
    <xf numFmtId="164" fontId="28" fillId="60" borderId="11" xfId="0" applyNumberFormat="1" applyFont="1" applyFill="1" applyBorder="1" applyAlignment="1">
      <alignment horizontal="center" vertical="center"/>
    </xf>
    <xf numFmtId="0" fontId="27" fillId="60" borderId="11" xfId="774" applyFont="1" applyFill="1" applyBorder="1" applyAlignment="1">
      <alignment horizontal="center" vertical="center"/>
    </xf>
    <xf numFmtId="0" fontId="27" fillId="60" borderId="11" xfId="774" applyFont="1" applyFill="1" applyBorder="1" applyAlignment="1">
      <alignment vertical="center" wrapText="1"/>
    </xf>
    <xf numFmtId="0" fontId="27" fillId="60" borderId="11" xfId="0" applyFont="1" applyFill="1" applyBorder="1" applyAlignment="1">
      <alignment horizontal="center" vertical="top" wrapText="1"/>
    </xf>
    <xf numFmtId="0" fontId="27" fillId="60" borderId="11" xfId="0" applyFont="1" applyFill="1" applyBorder="1" applyAlignment="1">
      <alignment horizontal="justify" vertical="top" wrapText="1"/>
    </xf>
    <xf numFmtId="0" fontId="27" fillId="60" borderId="11" xfId="0" applyFont="1" applyFill="1" applyBorder="1" applyAlignment="1">
      <alignment vertical="center" wrapText="1"/>
    </xf>
    <xf numFmtId="0" fontId="28" fillId="60" borderId="11" xfId="774" applyFont="1" applyFill="1" applyBorder="1" applyAlignment="1">
      <alignment horizontal="center" vertical="center"/>
    </xf>
    <xf numFmtId="0" fontId="28" fillId="60" borderId="11" xfId="778" applyFont="1" applyFill="1" applyBorder="1" applyAlignment="1">
      <alignment vertical="center" wrapText="1"/>
    </xf>
    <xf numFmtId="0" fontId="28" fillId="60" borderId="11" xfId="0" applyFont="1" applyFill="1" applyBorder="1" applyAlignment="1">
      <alignment horizontal="left" vertical="center" wrapText="1"/>
    </xf>
    <xf numFmtId="0" fontId="28" fillId="60" borderId="11" xfId="0" applyFont="1" applyFill="1" applyBorder="1" applyAlignment="1">
      <alignment horizontal="center" vertical="center" wrapText="1"/>
    </xf>
    <xf numFmtId="0" fontId="27" fillId="60" borderId="11" xfId="0" applyFont="1" applyFill="1" applyBorder="1" applyAlignment="1">
      <alignment horizontal="left" vertical="center" wrapText="1"/>
    </xf>
    <xf numFmtId="0" fontId="28" fillId="60" borderId="11" xfId="0" applyFont="1" applyFill="1" applyBorder="1" applyAlignment="1">
      <alignment vertical="center" wrapText="1"/>
    </xf>
    <xf numFmtId="0" fontId="27" fillId="60" borderId="11" xfId="0" applyFont="1" applyFill="1" applyBorder="1" applyAlignment="1">
      <alignment vertical="top" wrapText="1"/>
    </xf>
    <xf numFmtId="4" fontId="26" fillId="60" borderId="0" xfId="0" applyNumberFormat="1" applyFont="1" applyFill="1" applyAlignment="1">
      <alignment horizontal="center" vertical="center"/>
    </xf>
    <xf numFmtId="0" fontId="27" fillId="60" borderId="11" xfId="0" applyFont="1" applyFill="1" applyBorder="1" applyAlignment="1">
      <alignment horizontal="left" vertical="center"/>
    </xf>
    <xf numFmtId="4" fontId="28" fillId="60" borderId="11" xfId="0" applyNumberFormat="1" applyFont="1" applyFill="1" applyBorder="1" applyAlignment="1">
      <alignment horizontal="right"/>
    </xf>
    <xf numFmtId="0" fontId="27" fillId="60" borderId="11" xfId="777" applyFont="1" applyFill="1" applyBorder="1" applyAlignment="1">
      <alignment vertical="top" wrapText="1"/>
    </xf>
    <xf numFmtId="0" fontId="27" fillId="60" borderId="0" xfId="0" applyNumberFormat="1" applyFont="1" applyFill="1" applyAlignment="1">
      <alignment wrapText="1"/>
    </xf>
    <xf numFmtId="0" fontId="27" fillId="60" borderId="0" xfId="0" applyFont="1" applyFill="1" applyBorder="1" applyAlignment="1">
      <alignment vertical="center"/>
    </xf>
    <xf numFmtId="49" fontId="27" fillId="60" borderId="13" xfId="394" applyNumberFormat="1" applyFont="1" applyFill="1" applyProtection="1">
      <alignment horizontal="left" vertical="top" wrapText="1"/>
    </xf>
    <xf numFmtId="4" fontId="27" fillId="60" borderId="13" xfId="418" applyFont="1" applyFill="1" applyProtection="1">
      <alignment horizontal="right" vertical="top" shrinkToFit="1"/>
    </xf>
    <xf numFmtId="49" fontId="26" fillId="60" borderId="11" xfId="0" applyNumberFormat="1" applyFont="1" applyFill="1" applyBorder="1" applyAlignment="1">
      <alignment horizontal="left" vertical="center"/>
    </xf>
    <xf numFmtId="164" fontId="26" fillId="60" borderId="11" xfId="0" applyNumberFormat="1" applyFont="1" applyFill="1" applyBorder="1" applyAlignment="1">
      <alignment horizontal="left" vertical="top" wrapText="1"/>
    </xf>
    <xf numFmtId="0" fontId="29" fillId="60" borderId="0" xfId="0" applyFont="1" applyFill="1" applyAlignment="1">
      <alignment horizontal="center" vertical="center"/>
    </xf>
    <xf numFmtId="4" fontId="29" fillId="60" borderId="0" xfId="0" applyNumberFormat="1" applyFont="1" applyFill="1" applyAlignment="1">
      <alignment vertical="center"/>
    </xf>
    <xf numFmtId="0" fontId="29" fillId="60" borderId="0" xfId="0" applyFont="1" applyFill="1" applyAlignment="1">
      <alignment vertical="center"/>
    </xf>
    <xf numFmtId="49" fontId="26" fillId="60" borderId="11" xfId="0" applyNumberFormat="1" applyFont="1" applyFill="1" applyBorder="1" applyAlignment="1">
      <alignment horizontal="center" vertical="center"/>
    </xf>
    <xf numFmtId="49" fontId="27" fillId="60" borderId="11" xfId="0" applyNumberFormat="1" applyFont="1" applyFill="1" applyBorder="1" applyAlignment="1">
      <alignment horizontal="center" vertical="center"/>
    </xf>
    <xf numFmtId="49" fontId="27" fillId="60" borderId="11" xfId="0" applyNumberFormat="1" applyFont="1" applyFill="1" applyBorder="1" applyAlignment="1">
      <alignment vertical="top" wrapText="1"/>
    </xf>
    <xf numFmtId="49" fontId="26" fillId="60" borderId="11" xfId="0" applyNumberFormat="1" applyFont="1" applyFill="1" applyBorder="1" applyAlignment="1">
      <alignment vertical="top" wrapText="1"/>
    </xf>
    <xf numFmtId="0" fontId="27" fillId="60" borderId="11" xfId="0" applyFont="1" applyFill="1" applyBorder="1" applyAlignment="1">
      <alignment horizontal="left" vertical="top" wrapText="1"/>
    </xf>
    <xf numFmtId="0" fontId="29" fillId="60" borderId="12" xfId="0" applyFont="1" applyFill="1" applyBorder="1" applyAlignment="1">
      <alignment horizontal="center" vertical="center"/>
    </xf>
    <xf numFmtId="0" fontId="28" fillId="60" borderId="12" xfId="0" applyFont="1" applyFill="1" applyBorder="1" applyAlignment="1">
      <alignment horizontal="center" vertical="center"/>
    </xf>
    <xf numFmtId="0" fontId="27" fillId="60" borderId="12" xfId="0" applyFont="1" applyFill="1" applyBorder="1" applyAlignment="1">
      <alignment horizontal="center" vertical="center"/>
    </xf>
    <xf numFmtId="3" fontId="28" fillId="60" borderId="11" xfId="0" applyNumberFormat="1" applyFont="1" applyFill="1" applyBorder="1" applyAlignment="1">
      <alignment vertical="top" wrapText="1"/>
    </xf>
    <xf numFmtId="0" fontId="28" fillId="60" borderId="11" xfId="0" applyNumberFormat="1" applyFont="1" applyFill="1" applyBorder="1" applyAlignment="1">
      <alignment vertical="top" wrapText="1"/>
    </xf>
    <xf numFmtId="49" fontId="26" fillId="60" borderId="13" xfId="394" applyNumberFormat="1" applyFont="1" applyFill="1" applyProtection="1">
      <alignment horizontal="left" vertical="top" wrapText="1"/>
    </xf>
    <xf numFmtId="0" fontId="66" fillId="60" borderId="0" xfId="0" applyFont="1" applyFill="1" applyAlignment="1">
      <alignment horizontal="center" vertical="center"/>
    </xf>
    <xf numFmtId="4" fontId="67" fillId="60" borderId="11" xfId="0" applyNumberFormat="1" applyFont="1" applyFill="1" applyBorder="1" applyAlignment="1">
      <alignment vertical="center"/>
    </xf>
    <xf numFmtId="4" fontId="68" fillId="60" borderId="0" xfId="0" applyNumberFormat="1" applyFont="1" applyFill="1" applyAlignment="1">
      <alignment vertical="center"/>
    </xf>
    <xf numFmtId="0" fontId="66" fillId="60" borderId="0" xfId="0" applyFont="1" applyFill="1" applyAlignment="1">
      <alignment vertical="center"/>
    </xf>
    <xf numFmtId="0" fontId="67" fillId="60" borderId="0" xfId="0" applyFont="1" applyFill="1" applyAlignment="1">
      <alignment horizontal="center" vertical="center"/>
    </xf>
    <xf numFmtId="0" fontId="67" fillId="60" borderId="0" xfId="0" applyFont="1" applyFill="1" applyAlignment="1">
      <alignment vertical="center"/>
    </xf>
    <xf numFmtId="0" fontId="69" fillId="60" borderId="0" xfId="0" applyFont="1" applyFill="1" applyAlignment="1">
      <alignment horizontal="center" vertical="center"/>
    </xf>
    <xf numFmtId="0" fontId="26" fillId="60" borderId="11" xfId="0" applyFont="1" applyFill="1" applyBorder="1" applyAlignment="1">
      <alignment horizontal="left" vertical="center" wrapText="1"/>
    </xf>
    <xf numFmtId="0" fontId="27" fillId="60" borderId="0" xfId="0" applyFont="1" applyFill="1" applyAlignment="1">
      <alignment horizontal="right" vertical="center"/>
    </xf>
    <xf numFmtId="4" fontId="64" fillId="60" borderId="0" xfId="421" applyNumberFormat="1" applyFont="1" applyFill="1" applyBorder="1" applyProtection="1">
      <alignment horizontal="right" vertical="top" shrinkToFit="1"/>
    </xf>
    <xf numFmtId="4" fontId="64" fillId="60" borderId="0" xfId="421" applyFont="1" applyFill="1" applyBorder="1" applyProtection="1">
      <alignment horizontal="right" vertical="top" shrinkToFit="1"/>
    </xf>
    <xf numFmtId="4" fontId="65" fillId="60" borderId="0" xfId="439" applyFont="1" applyFill="1" applyBorder="1" applyProtection="1">
      <alignment horizontal="right" vertical="top" shrinkToFit="1"/>
    </xf>
    <xf numFmtId="4" fontId="65" fillId="60" borderId="0" xfId="439" applyNumberFormat="1" applyFont="1" applyFill="1" applyBorder="1" applyProtection="1">
      <alignment horizontal="right" vertical="top" shrinkToFit="1"/>
    </xf>
    <xf numFmtId="9" fontId="27" fillId="60" borderId="0" xfId="0" applyNumberFormat="1" applyFont="1" applyFill="1" applyBorder="1" applyAlignment="1">
      <alignment horizontal="center" vertical="center"/>
    </xf>
    <xf numFmtId="4" fontId="27" fillId="60" borderId="0" xfId="0" applyNumberFormat="1" applyFont="1" applyFill="1" applyBorder="1" applyAlignment="1">
      <alignment vertical="center"/>
    </xf>
    <xf numFmtId="4" fontId="26" fillId="0" borderId="0" xfId="885" applyNumberFormat="1" applyFont="1" applyFill="1" applyAlignment="1">
      <alignment horizontal="right" vertical="center"/>
    </xf>
    <xf numFmtId="4" fontId="26" fillId="0" borderId="0" xfId="885" applyNumberFormat="1" applyFont="1" applyFill="1" applyAlignment="1">
      <alignment vertical="center"/>
    </xf>
    <xf numFmtId="0" fontId="70" fillId="60" borderId="11" xfId="0" applyFont="1" applyFill="1" applyBorder="1" applyAlignment="1">
      <alignment horizontal="center" vertical="center"/>
    </xf>
    <xf numFmtId="0" fontId="70" fillId="60" borderId="11" xfId="0" applyNumberFormat="1" applyFont="1" applyFill="1" applyBorder="1" applyAlignment="1">
      <alignment vertical="top" wrapText="1"/>
    </xf>
    <xf numFmtId="4" fontId="71" fillId="60" borderId="11" xfId="777" applyNumberFormat="1" applyFont="1" applyFill="1" applyBorder="1" applyAlignment="1">
      <alignment horizontal="right" vertical="center"/>
    </xf>
    <xf numFmtId="4" fontId="70" fillId="60" borderId="11" xfId="777" applyNumberFormat="1" applyFont="1" applyFill="1" applyBorder="1" applyAlignment="1">
      <alignment horizontal="right" vertical="center"/>
    </xf>
    <xf numFmtId="4" fontId="70" fillId="60" borderId="11" xfId="884" applyNumberFormat="1" applyFont="1" applyFill="1" applyBorder="1" applyAlignment="1">
      <alignment horizontal="right" vertical="center"/>
    </xf>
    <xf numFmtId="9" fontId="70" fillId="60" borderId="11" xfId="0" applyNumberFormat="1" applyFont="1" applyFill="1" applyBorder="1" applyAlignment="1">
      <alignment horizontal="center" vertical="center"/>
    </xf>
    <xf numFmtId="0" fontId="30" fillId="60" borderId="0" xfId="0" applyFont="1" applyFill="1" applyBorder="1" applyAlignment="1">
      <alignment horizontal="center" vertical="center"/>
    </xf>
    <xf numFmtId="4" fontId="27" fillId="60" borderId="0" xfId="884" applyNumberFormat="1" applyFont="1" applyFill="1" applyAlignment="1">
      <alignment horizontal="right" vertical="center"/>
    </xf>
    <xf numFmtId="3" fontId="27" fillId="60" borderId="0" xfId="0" applyNumberFormat="1" applyFont="1" applyFill="1" applyAlignment="1">
      <alignment horizontal="right" vertical="center"/>
    </xf>
  </cellXfs>
  <cellStyles count="912">
    <cellStyle name="_индекс потребит цен" xfId="1"/>
    <cellStyle name="_Книга2" xfId="2"/>
    <cellStyle name="_Параметры на 2009-2011 годы" xfId="3"/>
    <cellStyle name="_по долгам2" xfId="4"/>
    <cellStyle name="20% - Акцент1" xfId="5" builtinId="30" customBuiltin="1"/>
    <cellStyle name="20% - Акцент1 2" xfId="6"/>
    <cellStyle name="20% - Акцент1 2 2" xfId="7"/>
    <cellStyle name="20% - Акцент1 2 3" xfId="8"/>
    <cellStyle name="20% - Акцент1 3" xfId="9"/>
    <cellStyle name="20% - Акцент1 3 2" xfId="10"/>
    <cellStyle name="20% - Акцент1 3 3" xfId="11"/>
    <cellStyle name="20% - Акцент1 4" xfId="12"/>
    <cellStyle name="20% - Акцент1 4 2" xfId="13"/>
    <cellStyle name="20% - Акцент1 4 3" xfId="14"/>
    <cellStyle name="20% - Акцент1 5" xfId="15"/>
    <cellStyle name="20% - Акцент1 5 2" xfId="16"/>
    <cellStyle name="20% - Акцент1 5 3" xfId="17"/>
    <cellStyle name="20% - Акцент1 6" xfId="18"/>
    <cellStyle name="20% - Акцент1 6 2" xfId="19"/>
    <cellStyle name="20% - Акцент1 7" xfId="20"/>
    <cellStyle name="20% - Акцент1 7 2" xfId="21"/>
    <cellStyle name="20% - Акцент1 8" xfId="22"/>
    <cellStyle name="20% - Акцент2" xfId="23" builtinId="34" customBuiltin="1"/>
    <cellStyle name="20% - Акцент2 2" xfId="24"/>
    <cellStyle name="20% - Акцент2 2 2" xfId="25"/>
    <cellStyle name="20% - Акцент2 2 3" xfId="26"/>
    <cellStyle name="20% - Акцент2 3" xfId="27"/>
    <cellStyle name="20% - Акцент2 3 2" xfId="28"/>
    <cellStyle name="20% - Акцент2 3 3" xfId="29"/>
    <cellStyle name="20% - Акцент2 4" xfId="30"/>
    <cellStyle name="20% - Акцент2 4 2" xfId="31"/>
    <cellStyle name="20% - Акцент2 4 3" xfId="32"/>
    <cellStyle name="20% - Акцент2 5" xfId="33"/>
    <cellStyle name="20% - Акцент2 5 2" xfId="34"/>
    <cellStyle name="20% - Акцент2 5 3" xfId="35"/>
    <cellStyle name="20% - Акцент2 6" xfId="36"/>
    <cellStyle name="20% - Акцент2 6 2" xfId="37"/>
    <cellStyle name="20% - Акцент2 7" xfId="38"/>
    <cellStyle name="20% - Акцент2 7 2" xfId="39"/>
    <cellStyle name="20% - Акцент2 8" xfId="40"/>
    <cellStyle name="20% - Акцент3" xfId="41" builtinId="38" customBuiltin="1"/>
    <cellStyle name="20% - Акцент3 2" xfId="42"/>
    <cellStyle name="20% - Акцент3 2 2" xfId="43"/>
    <cellStyle name="20% - Акцент3 2 3" xfId="44"/>
    <cellStyle name="20% - Акцент3 3" xfId="45"/>
    <cellStyle name="20% - Акцент3 3 2" xfId="46"/>
    <cellStyle name="20% - Акцент3 3 3" xfId="47"/>
    <cellStyle name="20% - Акцент3 4" xfId="48"/>
    <cellStyle name="20% - Акцент3 4 2" xfId="49"/>
    <cellStyle name="20% - Акцент3 4 3" xfId="50"/>
    <cellStyle name="20% - Акцент3 5" xfId="51"/>
    <cellStyle name="20% - Акцент3 5 2" xfId="52"/>
    <cellStyle name="20% - Акцент3 5 3" xfId="53"/>
    <cellStyle name="20% - Акцент3 6" xfId="54"/>
    <cellStyle name="20% - Акцент3 6 2" xfId="55"/>
    <cellStyle name="20% - Акцент3 7" xfId="56"/>
    <cellStyle name="20% - Акцент3 7 2" xfId="57"/>
    <cellStyle name="20% - Акцент3 8" xfId="58"/>
    <cellStyle name="20% - Акцент4" xfId="59" builtinId="42" customBuiltin="1"/>
    <cellStyle name="20% - Акцент4 2" xfId="60"/>
    <cellStyle name="20% - Акцент4 2 2" xfId="61"/>
    <cellStyle name="20% - Акцент4 2 3" xfId="62"/>
    <cellStyle name="20% - Акцент4 3" xfId="63"/>
    <cellStyle name="20% - Акцент4 3 2" xfId="64"/>
    <cellStyle name="20% - Акцент4 3 3" xfId="65"/>
    <cellStyle name="20% - Акцент4 4" xfId="66"/>
    <cellStyle name="20% - Акцент4 4 2" xfId="67"/>
    <cellStyle name="20% - Акцент4 4 3" xfId="68"/>
    <cellStyle name="20% - Акцент4 5" xfId="69"/>
    <cellStyle name="20% - Акцент4 5 2" xfId="70"/>
    <cellStyle name="20% - Акцент4 5 3" xfId="71"/>
    <cellStyle name="20% - Акцент4 6" xfId="72"/>
    <cellStyle name="20% - Акцент4 6 2" xfId="73"/>
    <cellStyle name="20% - Акцент4 7" xfId="74"/>
    <cellStyle name="20% - Акцент4 7 2" xfId="75"/>
    <cellStyle name="20% - Акцент4 8" xfId="76"/>
    <cellStyle name="20% - Акцент5" xfId="77" builtinId="46" customBuiltin="1"/>
    <cellStyle name="20% - Акцент5 2" xfId="78"/>
    <cellStyle name="20% - Акцент5 2 2" xfId="79"/>
    <cellStyle name="20% - Акцент5 2 3" xfId="80"/>
    <cellStyle name="20% - Акцент5 3" xfId="81"/>
    <cellStyle name="20% - Акцент5 3 2" xfId="82"/>
    <cellStyle name="20% - Акцент5 3 3" xfId="83"/>
    <cellStyle name="20% - Акцент5 4" xfId="84"/>
    <cellStyle name="20% - Акцент5 4 2" xfId="85"/>
    <cellStyle name="20% - Акцент5 4 3" xfId="86"/>
    <cellStyle name="20% - Акцент5 5" xfId="87"/>
    <cellStyle name="20% - Акцент5 5 2" xfId="88"/>
    <cellStyle name="20% - Акцент5 5 3" xfId="89"/>
    <cellStyle name="20% - Акцент5 6" xfId="90"/>
    <cellStyle name="20% - Акцент5 6 2" xfId="91"/>
    <cellStyle name="20% - Акцент5 7" xfId="92"/>
    <cellStyle name="20% - Акцент5 7 2" xfId="93"/>
    <cellStyle name="20% - Акцент5 8" xfId="94"/>
    <cellStyle name="20% - Акцент6" xfId="95" builtinId="50" customBuiltin="1"/>
    <cellStyle name="20% - Акцент6 2" xfId="96"/>
    <cellStyle name="20% - Акцент6 2 2" xfId="97"/>
    <cellStyle name="20% - Акцент6 2 3" xfId="98"/>
    <cellStyle name="20% - Акцент6 3" xfId="99"/>
    <cellStyle name="20% - Акцент6 3 2" xfId="100"/>
    <cellStyle name="20% - Акцент6 3 3" xfId="101"/>
    <cellStyle name="20% - Акцент6 4" xfId="102"/>
    <cellStyle name="20% - Акцент6 4 2" xfId="103"/>
    <cellStyle name="20% - Акцент6 4 3" xfId="104"/>
    <cellStyle name="20% - Акцент6 5" xfId="105"/>
    <cellStyle name="20% - Акцент6 5 2" xfId="106"/>
    <cellStyle name="20% - Акцент6 5 3" xfId="107"/>
    <cellStyle name="20% - Акцент6 6" xfId="108"/>
    <cellStyle name="20% - Акцент6 6 2" xfId="109"/>
    <cellStyle name="20% - Акцент6 7" xfId="110"/>
    <cellStyle name="20% - Акцент6 7 2" xfId="111"/>
    <cellStyle name="20% - Акцент6 8" xfId="112"/>
    <cellStyle name="40% - Акцент1" xfId="113" builtinId="31" customBuiltin="1"/>
    <cellStyle name="40% - Акцент1 2" xfId="114"/>
    <cellStyle name="40% - Акцент1 2 2" xfId="115"/>
    <cellStyle name="40% - Акцент1 2 3" xfId="116"/>
    <cellStyle name="40% - Акцент1 3" xfId="117"/>
    <cellStyle name="40% - Акцент1 3 2" xfId="118"/>
    <cellStyle name="40% - Акцент1 3 3" xfId="119"/>
    <cellStyle name="40% - Акцент1 4" xfId="120"/>
    <cellStyle name="40% - Акцент1 4 2" xfId="121"/>
    <cellStyle name="40% - Акцент1 4 3" xfId="122"/>
    <cellStyle name="40% - Акцент1 5" xfId="123"/>
    <cellStyle name="40% - Акцент1 5 2" xfId="124"/>
    <cellStyle name="40% - Акцент1 5 3" xfId="125"/>
    <cellStyle name="40% - Акцент1 6" xfId="126"/>
    <cellStyle name="40% - Акцент1 6 2" xfId="127"/>
    <cellStyle name="40% - Акцент1 7" xfId="128"/>
    <cellStyle name="40% - Акцент1 7 2" xfId="129"/>
    <cellStyle name="40% - Акцент1 8" xfId="130"/>
    <cellStyle name="40% - Акцент2" xfId="131" builtinId="35" customBuiltin="1"/>
    <cellStyle name="40% - Акцент2 2" xfId="132"/>
    <cellStyle name="40% - Акцент2 2 2" xfId="133"/>
    <cellStyle name="40% - Акцент2 2 3" xfId="134"/>
    <cellStyle name="40% - Акцент2 3" xfId="135"/>
    <cellStyle name="40% - Акцент2 3 2" xfId="136"/>
    <cellStyle name="40% - Акцент2 3 3" xfId="137"/>
    <cellStyle name="40% - Акцент2 4" xfId="138"/>
    <cellStyle name="40% - Акцент2 4 2" xfId="139"/>
    <cellStyle name="40% - Акцент2 4 3" xfId="140"/>
    <cellStyle name="40% - Акцент2 5" xfId="141"/>
    <cellStyle name="40% - Акцент2 5 2" xfId="142"/>
    <cellStyle name="40% - Акцент2 5 3" xfId="143"/>
    <cellStyle name="40% - Акцент2 6" xfId="144"/>
    <cellStyle name="40% - Акцент2 6 2" xfId="145"/>
    <cellStyle name="40% - Акцент2 7" xfId="146"/>
    <cellStyle name="40% - Акцент2 7 2" xfId="147"/>
    <cellStyle name="40% - Акцент2 8" xfId="148"/>
    <cellStyle name="40% - Акцент3" xfId="149" builtinId="39" customBuiltin="1"/>
    <cellStyle name="40% - Акцент3 2" xfId="150"/>
    <cellStyle name="40% - Акцент3 2 2" xfId="151"/>
    <cellStyle name="40% - Акцент3 2 3" xfId="152"/>
    <cellStyle name="40% - Акцент3 3" xfId="153"/>
    <cellStyle name="40% - Акцент3 3 2" xfId="154"/>
    <cellStyle name="40% - Акцент3 3 3" xfId="155"/>
    <cellStyle name="40% - Акцент3 4" xfId="156"/>
    <cellStyle name="40% - Акцент3 4 2" xfId="157"/>
    <cellStyle name="40% - Акцент3 4 3" xfId="158"/>
    <cellStyle name="40% - Акцент3 5" xfId="159"/>
    <cellStyle name="40% - Акцент3 5 2" xfId="160"/>
    <cellStyle name="40% - Акцент3 5 3" xfId="161"/>
    <cellStyle name="40% - Акцент3 6" xfId="162"/>
    <cellStyle name="40% - Акцент3 6 2" xfId="163"/>
    <cellStyle name="40% - Акцент3 7" xfId="164"/>
    <cellStyle name="40% - Акцент3 7 2" xfId="165"/>
    <cellStyle name="40% - Акцент3 8" xfId="166"/>
    <cellStyle name="40% - Акцент4" xfId="167" builtinId="43" customBuiltin="1"/>
    <cellStyle name="40% - Акцент4 2" xfId="168"/>
    <cellStyle name="40% - Акцент4 2 2" xfId="169"/>
    <cellStyle name="40% - Акцент4 2 3" xfId="170"/>
    <cellStyle name="40% - Акцент4 3" xfId="171"/>
    <cellStyle name="40% - Акцент4 3 2" xfId="172"/>
    <cellStyle name="40% - Акцент4 3 3" xfId="173"/>
    <cellStyle name="40% - Акцент4 4" xfId="174"/>
    <cellStyle name="40% - Акцент4 4 2" xfId="175"/>
    <cellStyle name="40% - Акцент4 4 3" xfId="176"/>
    <cellStyle name="40% - Акцент4 5" xfId="177"/>
    <cellStyle name="40% - Акцент4 5 2" xfId="178"/>
    <cellStyle name="40% - Акцент4 5 3" xfId="179"/>
    <cellStyle name="40% - Акцент4 6" xfId="180"/>
    <cellStyle name="40% - Акцент4 6 2" xfId="181"/>
    <cellStyle name="40% - Акцент4 7" xfId="182"/>
    <cellStyle name="40% - Акцент4 7 2" xfId="183"/>
    <cellStyle name="40% - Акцент4 8" xfId="184"/>
    <cellStyle name="40% - Акцент5" xfId="185" builtinId="47" customBuiltin="1"/>
    <cellStyle name="40% - Акцент5 2" xfId="186"/>
    <cellStyle name="40% - Акцент5 2 2" xfId="187"/>
    <cellStyle name="40% - Акцент5 2 3" xfId="188"/>
    <cellStyle name="40% - Акцент5 3" xfId="189"/>
    <cellStyle name="40% - Акцент5 3 2" xfId="190"/>
    <cellStyle name="40% - Акцент5 3 3" xfId="191"/>
    <cellStyle name="40% - Акцент5 4" xfId="192"/>
    <cellStyle name="40% - Акцент5 4 2" xfId="193"/>
    <cellStyle name="40% - Акцент5 4 3" xfId="194"/>
    <cellStyle name="40% - Акцент5 5" xfId="195"/>
    <cellStyle name="40% - Акцент5 5 2" xfId="196"/>
    <cellStyle name="40% - Акцент5 5 3" xfId="197"/>
    <cellStyle name="40% - Акцент5 6" xfId="198"/>
    <cellStyle name="40% - Акцент5 6 2" xfId="199"/>
    <cellStyle name="40% - Акцент5 7" xfId="200"/>
    <cellStyle name="40% - Акцент5 7 2" xfId="201"/>
    <cellStyle name="40% - Акцент5 8" xfId="202"/>
    <cellStyle name="40% - Акцент6" xfId="203" builtinId="51" customBuiltin="1"/>
    <cellStyle name="40% - Акцент6 2" xfId="204"/>
    <cellStyle name="40% - Акцент6 2 2" xfId="205"/>
    <cellStyle name="40% - Акцент6 2 3" xfId="206"/>
    <cellStyle name="40% - Акцент6 3" xfId="207"/>
    <cellStyle name="40% - Акцент6 3 2" xfId="208"/>
    <cellStyle name="40% - Акцент6 3 3" xfId="209"/>
    <cellStyle name="40% - Акцент6 4" xfId="210"/>
    <cellStyle name="40% - Акцент6 4 2" xfId="211"/>
    <cellStyle name="40% - Акцент6 4 3" xfId="212"/>
    <cellStyle name="40% - Акцент6 5" xfId="213"/>
    <cellStyle name="40% - Акцент6 5 2" xfId="214"/>
    <cellStyle name="40% - Акцент6 5 3" xfId="215"/>
    <cellStyle name="40% - Акцент6 6" xfId="216"/>
    <cellStyle name="40% - Акцент6 6 2" xfId="217"/>
    <cellStyle name="40% - Акцент6 7" xfId="218"/>
    <cellStyle name="40% - Акцент6 7 2" xfId="219"/>
    <cellStyle name="40% - Акцент6 8" xfId="220"/>
    <cellStyle name="60% - Акцент1" xfId="221" builtinId="32" customBuiltin="1"/>
    <cellStyle name="60% - Акцент1 2" xfId="222"/>
    <cellStyle name="60% - Акцент1 2 2" xfId="223"/>
    <cellStyle name="60% - Акцент1 2 3" xfId="224"/>
    <cellStyle name="60% - Акцент1 3" xfId="225"/>
    <cellStyle name="60% - Акцент1 3 2" xfId="226"/>
    <cellStyle name="60% - Акцент1 3 3" xfId="227"/>
    <cellStyle name="60% - Акцент1 4" xfId="228"/>
    <cellStyle name="60% - Акцент1 4 2" xfId="229"/>
    <cellStyle name="60% - Акцент1 4 3" xfId="230"/>
    <cellStyle name="60% - Акцент1 5" xfId="231"/>
    <cellStyle name="60% - Акцент1 5 2" xfId="232"/>
    <cellStyle name="60% - Акцент1 5 3" xfId="233"/>
    <cellStyle name="60% - Акцент1 6" xfId="234"/>
    <cellStyle name="60% - Акцент1 6 2" xfId="235"/>
    <cellStyle name="60% - Акцент1 7" xfId="236"/>
    <cellStyle name="60% - Акцент1 7 2" xfId="237"/>
    <cellStyle name="60% - Акцент1 8" xfId="238"/>
    <cellStyle name="60% - Акцент2" xfId="239" builtinId="36" customBuiltin="1"/>
    <cellStyle name="60% - Акцент2 2" xfId="240"/>
    <cellStyle name="60% - Акцент2 2 2" xfId="241"/>
    <cellStyle name="60% - Акцент2 2 3" xfId="242"/>
    <cellStyle name="60% - Акцент2 3" xfId="243"/>
    <cellStyle name="60% - Акцент2 3 2" xfId="244"/>
    <cellStyle name="60% - Акцент2 3 3" xfId="245"/>
    <cellStyle name="60% - Акцент2 4" xfId="246"/>
    <cellStyle name="60% - Акцент2 4 2" xfId="247"/>
    <cellStyle name="60% - Акцент2 4 3" xfId="248"/>
    <cellStyle name="60% - Акцент2 5" xfId="249"/>
    <cellStyle name="60% - Акцент2 5 2" xfId="250"/>
    <cellStyle name="60% - Акцент2 5 3" xfId="251"/>
    <cellStyle name="60% - Акцент2 6" xfId="252"/>
    <cellStyle name="60% - Акцент2 6 2" xfId="253"/>
    <cellStyle name="60% - Акцент2 7" xfId="254"/>
    <cellStyle name="60% - Акцент2 7 2" xfId="255"/>
    <cellStyle name="60% - Акцент2 8" xfId="256"/>
    <cellStyle name="60% - Акцент3" xfId="257" builtinId="40" customBuiltin="1"/>
    <cellStyle name="60% - Акцент3 2" xfId="258"/>
    <cellStyle name="60% - Акцент3 2 2" xfId="259"/>
    <cellStyle name="60% - Акцент3 2 3" xfId="260"/>
    <cellStyle name="60% - Акцент3 3" xfId="261"/>
    <cellStyle name="60% - Акцент3 3 2" xfId="262"/>
    <cellStyle name="60% - Акцент3 3 3" xfId="263"/>
    <cellStyle name="60% - Акцент3 4" xfId="264"/>
    <cellStyle name="60% - Акцент3 4 2" xfId="265"/>
    <cellStyle name="60% - Акцент3 4 3" xfId="266"/>
    <cellStyle name="60% - Акцент3 5" xfId="267"/>
    <cellStyle name="60% - Акцент3 5 2" xfId="268"/>
    <cellStyle name="60% - Акцент3 5 3" xfId="269"/>
    <cellStyle name="60% - Акцент3 6" xfId="270"/>
    <cellStyle name="60% - Акцент3 6 2" xfId="271"/>
    <cellStyle name="60% - Акцент3 7" xfId="272"/>
    <cellStyle name="60% - Акцент3 7 2" xfId="273"/>
    <cellStyle name="60% - Акцент3 8" xfId="274"/>
    <cellStyle name="60% - Акцент4" xfId="275" builtinId="44" customBuiltin="1"/>
    <cellStyle name="60% - Акцент4 2" xfId="276"/>
    <cellStyle name="60% - Акцент4 2 2" xfId="277"/>
    <cellStyle name="60% - Акцент4 2 3" xfId="278"/>
    <cellStyle name="60% - Акцент4 3" xfId="279"/>
    <cellStyle name="60% - Акцент4 3 2" xfId="280"/>
    <cellStyle name="60% - Акцент4 3 3" xfId="281"/>
    <cellStyle name="60% - Акцент4 4" xfId="282"/>
    <cellStyle name="60% - Акцент4 4 2" xfId="283"/>
    <cellStyle name="60% - Акцент4 4 3" xfId="284"/>
    <cellStyle name="60% - Акцент4 5" xfId="285"/>
    <cellStyle name="60% - Акцент4 5 2" xfId="286"/>
    <cellStyle name="60% - Акцент4 5 3" xfId="287"/>
    <cellStyle name="60% - Акцент4 6" xfId="288"/>
    <cellStyle name="60% - Акцент4 6 2" xfId="289"/>
    <cellStyle name="60% - Акцент4 7" xfId="290"/>
    <cellStyle name="60% - Акцент4 7 2" xfId="291"/>
    <cellStyle name="60% - Акцент4 8" xfId="292"/>
    <cellStyle name="60% - Акцент5" xfId="293" builtinId="48" customBuiltin="1"/>
    <cellStyle name="60% - Акцент5 2" xfId="294"/>
    <cellStyle name="60% - Акцент5 2 2" xfId="295"/>
    <cellStyle name="60% - Акцент5 2 3" xfId="296"/>
    <cellStyle name="60% - Акцент5 3" xfId="297"/>
    <cellStyle name="60% - Акцент5 3 2" xfId="298"/>
    <cellStyle name="60% - Акцент5 3 3" xfId="299"/>
    <cellStyle name="60% - Акцент5 4" xfId="300"/>
    <cellStyle name="60% - Акцент5 4 2" xfId="301"/>
    <cellStyle name="60% - Акцент5 4 3" xfId="302"/>
    <cellStyle name="60% - Акцент5 5" xfId="303"/>
    <cellStyle name="60% - Акцент5 5 2" xfId="304"/>
    <cellStyle name="60% - Акцент5 5 3" xfId="305"/>
    <cellStyle name="60% - Акцент5 6" xfId="306"/>
    <cellStyle name="60% - Акцент5 6 2" xfId="307"/>
    <cellStyle name="60% - Акцент5 7" xfId="308"/>
    <cellStyle name="60% - Акцент5 7 2" xfId="309"/>
    <cellStyle name="60% - Акцент5 8" xfId="310"/>
    <cellStyle name="60% - Акцент6" xfId="311" builtinId="52" customBuiltin="1"/>
    <cellStyle name="60% - Акцент6 2" xfId="312"/>
    <cellStyle name="60% - Акцент6 2 2" xfId="313"/>
    <cellStyle name="60% - Акцент6 2 3" xfId="314"/>
    <cellStyle name="60% - Акцент6 3" xfId="315"/>
    <cellStyle name="60% - Акцент6 3 2" xfId="316"/>
    <cellStyle name="60% - Акцент6 3 3" xfId="317"/>
    <cellStyle name="60% - Акцент6 4" xfId="318"/>
    <cellStyle name="60% - Акцент6 4 2" xfId="319"/>
    <cellStyle name="60% - Акцент6 4 3" xfId="320"/>
    <cellStyle name="60% - Акцент6 5" xfId="321"/>
    <cellStyle name="60% - Акцент6 5 2" xfId="322"/>
    <cellStyle name="60% - Акцент6 5 3" xfId="323"/>
    <cellStyle name="60% - Акцент6 6" xfId="324"/>
    <cellStyle name="60% - Акцент6 6 2" xfId="325"/>
    <cellStyle name="60% - Акцент6 7" xfId="326"/>
    <cellStyle name="60% - Акцент6 7 2" xfId="327"/>
    <cellStyle name="60% - Акцент6 8" xfId="328"/>
    <cellStyle name="br" xfId="329"/>
    <cellStyle name="col" xfId="330"/>
    <cellStyle name="dtrow" xfId="331"/>
    <cellStyle name="Normal_002-rev-wod" xfId="332"/>
    <cellStyle name="st16" xfId="333"/>
    <cellStyle name="st17" xfId="334"/>
    <cellStyle name="st18" xfId="335"/>
    <cellStyle name="st19" xfId="336"/>
    <cellStyle name="st20" xfId="337"/>
    <cellStyle name="st21" xfId="338"/>
    <cellStyle name="st22" xfId="339"/>
    <cellStyle name="st26" xfId="340"/>
    <cellStyle name="style0" xfId="341"/>
    <cellStyle name="style0 2" xfId="342"/>
    <cellStyle name="style0 3" xfId="343"/>
    <cellStyle name="style0 4" xfId="344"/>
    <cellStyle name="td" xfId="345"/>
    <cellStyle name="td 2" xfId="346"/>
    <cellStyle name="td 3" xfId="347"/>
    <cellStyle name="td 4" xfId="348"/>
    <cellStyle name="tr" xfId="349"/>
    <cellStyle name="xl21" xfId="350"/>
    <cellStyle name="xl22" xfId="351"/>
    <cellStyle name="xl22 2" xfId="352"/>
    <cellStyle name="xl22 3" xfId="353"/>
    <cellStyle name="xl22 4" xfId="354"/>
    <cellStyle name="xl23" xfId="355"/>
    <cellStyle name="xl23 2" xfId="356"/>
    <cellStyle name="xl23 3" xfId="357"/>
    <cellStyle name="xl23 4" xfId="358"/>
    <cellStyle name="xl24" xfId="359"/>
    <cellStyle name="xl24 2" xfId="360"/>
    <cellStyle name="xl24 3" xfId="361"/>
    <cellStyle name="xl24 4" xfId="362"/>
    <cellStyle name="xl24 5" xfId="363"/>
    <cellStyle name="xl25" xfId="364"/>
    <cellStyle name="xl25 2" xfId="365"/>
    <cellStyle name="xl25 3" xfId="366"/>
    <cellStyle name="xl25 4" xfId="367"/>
    <cellStyle name="xl25 5" xfId="368"/>
    <cellStyle name="xl26" xfId="369"/>
    <cellStyle name="xl26 2" xfId="370"/>
    <cellStyle name="xl26 3" xfId="371"/>
    <cellStyle name="xl26 4" xfId="372"/>
    <cellStyle name="xl26 5" xfId="373"/>
    <cellStyle name="xl26 6" xfId="374"/>
    <cellStyle name="xl27" xfId="375"/>
    <cellStyle name="xl27 2" xfId="376"/>
    <cellStyle name="xl27 3" xfId="377"/>
    <cellStyle name="xl27 4" xfId="378"/>
    <cellStyle name="xl27 5" xfId="379"/>
    <cellStyle name="xl27 6" xfId="380"/>
    <cellStyle name="xl28" xfId="381"/>
    <cellStyle name="xl28 2" xfId="382"/>
    <cellStyle name="xl28 3" xfId="383"/>
    <cellStyle name="xl28 4" xfId="384"/>
    <cellStyle name="xl28 5" xfId="385"/>
    <cellStyle name="xl28 6" xfId="386"/>
    <cellStyle name="xl29" xfId="387"/>
    <cellStyle name="xl29 2" xfId="388"/>
    <cellStyle name="xl29 3" xfId="389"/>
    <cellStyle name="xl29 4" xfId="390"/>
    <cellStyle name="xl29 5" xfId="391"/>
    <cellStyle name="xl29 6" xfId="392"/>
    <cellStyle name="xl30" xfId="393"/>
    <cellStyle name="xl30 2" xfId="394"/>
    <cellStyle name="xl30 3" xfId="395"/>
    <cellStyle name="xl30 4" xfId="396"/>
    <cellStyle name="xl30 5" xfId="397"/>
    <cellStyle name="xl30 6" xfId="398"/>
    <cellStyle name="xl31" xfId="399"/>
    <cellStyle name="xl31 2" xfId="400"/>
    <cellStyle name="xl31 3" xfId="401"/>
    <cellStyle name="xl31 4" xfId="402"/>
    <cellStyle name="xl31 5" xfId="403"/>
    <cellStyle name="xl31 6" xfId="404"/>
    <cellStyle name="xl32" xfId="405"/>
    <cellStyle name="xl32 2" xfId="406"/>
    <cellStyle name="xl32 3" xfId="407"/>
    <cellStyle name="xl32 4" xfId="408"/>
    <cellStyle name="xl32 5" xfId="409"/>
    <cellStyle name="xl32 6" xfId="410"/>
    <cellStyle name="xl33" xfId="411"/>
    <cellStyle name="xl33 2" xfId="412"/>
    <cellStyle name="xl33 3" xfId="413"/>
    <cellStyle name="xl33 4" xfId="414"/>
    <cellStyle name="xl33 5" xfId="415"/>
    <cellStyle name="xl33 6" xfId="416"/>
    <cellStyle name="xl34" xfId="417"/>
    <cellStyle name="xl34 2" xfId="418"/>
    <cellStyle name="xl34 3" xfId="419"/>
    <cellStyle name="xl34 4" xfId="420"/>
    <cellStyle name="xl34 5" xfId="421"/>
    <cellStyle name="xl35" xfId="422"/>
    <cellStyle name="xl35 2" xfId="423"/>
    <cellStyle name="xl35 3" xfId="424"/>
    <cellStyle name="xl35 4" xfId="425"/>
    <cellStyle name="xl35 5" xfId="426"/>
    <cellStyle name="xl35 6" xfId="427"/>
    <cellStyle name="xl36" xfId="428"/>
    <cellStyle name="xl36 2" xfId="429"/>
    <cellStyle name="xl36 3" xfId="430"/>
    <cellStyle name="xl36 4" xfId="431"/>
    <cellStyle name="xl36 5" xfId="432"/>
    <cellStyle name="xl37" xfId="433"/>
    <cellStyle name="xl37 2" xfId="434"/>
    <cellStyle name="xl37 3" xfId="435"/>
    <cellStyle name="xl37 4" xfId="436"/>
    <cellStyle name="xl37 5" xfId="437"/>
    <cellStyle name="xl38" xfId="438"/>
    <cellStyle name="xl38 2" xfId="439"/>
    <cellStyle name="xl38 3" xfId="440"/>
    <cellStyle name="xl38 4" xfId="441"/>
    <cellStyle name="xl38 5" xfId="442"/>
    <cellStyle name="xl39" xfId="443"/>
    <cellStyle name="xl39 2" xfId="444"/>
    <cellStyle name="xl39 3" xfId="445"/>
    <cellStyle name="xl39 4" xfId="446"/>
    <cellStyle name="xl39 5" xfId="447"/>
    <cellStyle name="xl40" xfId="448"/>
    <cellStyle name="xl40 2" xfId="449"/>
    <cellStyle name="xl40 3" xfId="450"/>
    <cellStyle name="xl40 4" xfId="451"/>
    <cellStyle name="xl41" xfId="452"/>
    <cellStyle name="xl41 2" xfId="453"/>
    <cellStyle name="xl41 3" xfId="454"/>
    <cellStyle name="xl41 4" xfId="455"/>
    <cellStyle name="xl41 5" xfId="456"/>
    <cellStyle name="xl42" xfId="457"/>
    <cellStyle name="xl42 2" xfId="458"/>
    <cellStyle name="xl43" xfId="459"/>
    <cellStyle name="xl43 2" xfId="460"/>
    <cellStyle name="xl44" xfId="461"/>
    <cellStyle name="xl46" xfId="462"/>
    <cellStyle name="Акцент1" xfId="463" builtinId="29" customBuiltin="1"/>
    <cellStyle name="Акцент1 2" xfId="464"/>
    <cellStyle name="Акцент1 2 2" xfId="465"/>
    <cellStyle name="Акцент1 2 3" xfId="466"/>
    <cellStyle name="Акцент1 3" xfId="467"/>
    <cellStyle name="Акцент1 3 2" xfId="468"/>
    <cellStyle name="Акцент1 3 3" xfId="469"/>
    <cellStyle name="Акцент1 4" xfId="470"/>
    <cellStyle name="Акцент1 4 2" xfId="471"/>
    <cellStyle name="Акцент1 4 3" xfId="472"/>
    <cellStyle name="Акцент1 5" xfId="473"/>
    <cellStyle name="Акцент1 5 2" xfId="474"/>
    <cellStyle name="Акцент1 5 3" xfId="475"/>
    <cellStyle name="Акцент1 6" xfId="476"/>
    <cellStyle name="Акцент1 6 2" xfId="477"/>
    <cellStyle name="Акцент1 7" xfId="478"/>
    <cellStyle name="Акцент1 7 2" xfId="479"/>
    <cellStyle name="Акцент1 8" xfId="480"/>
    <cellStyle name="Акцент2" xfId="481" builtinId="33" customBuiltin="1"/>
    <cellStyle name="Акцент2 2" xfId="482"/>
    <cellStyle name="Акцент2 2 2" xfId="483"/>
    <cellStyle name="Акцент2 2 3" xfId="484"/>
    <cellStyle name="Акцент2 3" xfId="485"/>
    <cellStyle name="Акцент2 3 2" xfId="486"/>
    <cellStyle name="Акцент2 3 3" xfId="487"/>
    <cellStyle name="Акцент2 4" xfId="488"/>
    <cellStyle name="Акцент2 4 2" xfId="489"/>
    <cellStyle name="Акцент2 4 3" xfId="490"/>
    <cellStyle name="Акцент2 5" xfId="491"/>
    <cellStyle name="Акцент2 5 2" xfId="492"/>
    <cellStyle name="Акцент2 5 3" xfId="493"/>
    <cellStyle name="Акцент2 6" xfId="494"/>
    <cellStyle name="Акцент2 6 2" xfId="495"/>
    <cellStyle name="Акцент2 7" xfId="496"/>
    <cellStyle name="Акцент2 7 2" xfId="497"/>
    <cellStyle name="Акцент2 8" xfId="498"/>
    <cellStyle name="Акцент3" xfId="499" builtinId="37" customBuiltin="1"/>
    <cellStyle name="Акцент3 2" xfId="500"/>
    <cellStyle name="Акцент3 2 2" xfId="501"/>
    <cellStyle name="Акцент3 2 3" xfId="502"/>
    <cellStyle name="Акцент3 3" xfId="503"/>
    <cellStyle name="Акцент3 3 2" xfId="504"/>
    <cellStyle name="Акцент3 3 3" xfId="505"/>
    <cellStyle name="Акцент3 4" xfId="506"/>
    <cellStyle name="Акцент3 4 2" xfId="507"/>
    <cellStyle name="Акцент3 4 3" xfId="508"/>
    <cellStyle name="Акцент3 5" xfId="509"/>
    <cellStyle name="Акцент3 5 2" xfId="510"/>
    <cellStyle name="Акцент3 5 3" xfId="511"/>
    <cellStyle name="Акцент3 6" xfId="512"/>
    <cellStyle name="Акцент3 6 2" xfId="513"/>
    <cellStyle name="Акцент3 7" xfId="514"/>
    <cellStyle name="Акцент3 7 2" xfId="515"/>
    <cellStyle name="Акцент3 8" xfId="516"/>
    <cellStyle name="Акцент4" xfId="517" builtinId="41" customBuiltin="1"/>
    <cellStyle name="Акцент4 2" xfId="518"/>
    <cellStyle name="Акцент4 2 2" xfId="519"/>
    <cellStyle name="Акцент4 2 3" xfId="520"/>
    <cellStyle name="Акцент4 3" xfId="521"/>
    <cellStyle name="Акцент4 3 2" xfId="522"/>
    <cellStyle name="Акцент4 3 3" xfId="523"/>
    <cellStyle name="Акцент4 4" xfId="524"/>
    <cellStyle name="Акцент4 4 2" xfId="525"/>
    <cellStyle name="Акцент4 4 3" xfId="526"/>
    <cellStyle name="Акцент4 5" xfId="527"/>
    <cellStyle name="Акцент4 5 2" xfId="528"/>
    <cellStyle name="Акцент4 5 3" xfId="529"/>
    <cellStyle name="Акцент4 6" xfId="530"/>
    <cellStyle name="Акцент4 6 2" xfId="531"/>
    <cellStyle name="Акцент4 7" xfId="532"/>
    <cellStyle name="Акцент4 7 2" xfId="533"/>
    <cellStyle name="Акцент4 8" xfId="534"/>
    <cellStyle name="Акцент5" xfId="535" builtinId="45" customBuiltin="1"/>
    <cellStyle name="Акцент5 2" xfId="536"/>
    <cellStyle name="Акцент5 2 2" xfId="537"/>
    <cellStyle name="Акцент5 2 3" xfId="538"/>
    <cellStyle name="Акцент5 3" xfId="539"/>
    <cellStyle name="Акцент5 3 2" xfId="540"/>
    <cellStyle name="Акцент5 3 3" xfId="541"/>
    <cellStyle name="Акцент5 4" xfId="542"/>
    <cellStyle name="Акцент5 4 2" xfId="543"/>
    <cellStyle name="Акцент5 4 3" xfId="544"/>
    <cellStyle name="Акцент5 5" xfId="545"/>
    <cellStyle name="Акцент5 5 2" xfId="546"/>
    <cellStyle name="Акцент5 5 3" xfId="547"/>
    <cellStyle name="Акцент5 6" xfId="548"/>
    <cellStyle name="Акцент5 6 2" xfId="549"/>
    <cellStyle name="Акцент5 7" xfId="550"/>
    <cellStyle name="Акцент5 7 2" xfId="551"/>
    <cellStyle name="Акцент5 8" xfId="552"/>
    <cellStyle name="Акцент6" xfId="553" builtinId="49" customBuiltin="1"/>
    <cellStyle name="Акцент6 2" xfId="554"/>
    <cellStyle name="Акцент6 2 2" xfId="555"/>
    <cellStyle name="Акцент6 2 3" xfId="556"/>
    <cellStyle name="Акцент6 3" xfId="557"/>
    <cellStyle name="Акцент6 3 2" xfId="558"/>
    <cellStyle name="Акцент6 3 3" xfId="559"/>
    <cellStyle name="Акцент6 4" xfId="560"/>
    <cellStyle name="Акцент6 4 2" xfId="561"/>
    <cellStyle name="Акцент6 4 3" xfId="562"/>
    <cellStyle name="Акцент6 5" xfId="563"/>
    <cellStyle name="Акцент6 5 2" xfId="564"/>
    <cellStyle name="Акцент6 5 3" xfId="565"/>
    <cellStyle name="Акцент6 6" xfId="566"/>
    <cellStyle name="Акцент6 6 2" xfId="567"/>
    <cellStyle name="Акцент6 7" xfId="568"/>
    <cellStyle name="Акцент6 7 2" xfId="569"/>
    <cellStyle name="Акцент6 8" xfId="570"/>
    <cellStyle name="Анна1" xfId="571"/>
    <cellStyle name="Анна2" xfId="572"/>
    <cellStyle name="Ввод " xfId="573" builtinId="20" customBuiltin="1"/>
    <cellStyle name="Ввод  2" xfId="574"/>
    <cellStyle name="Ввод  2 2" xfId="575"/>
    <cellStyle name="Ввод  2 3" xfId="576"/>
    <cellStyle name="Ввод  3" xfId="577"/>
    <cellStyle name="Ввод  3 2" xfId="578"/>
    <cellStyle name="Ввод  3 3" xfId="579"/>
    <cellStyle name="Ввод  4" xfId="580"/>
    <cellStyle name="Ввод  4 2" xfId="581"/>
    <cellStyle name="Ввод  4 3" xfId="582"/>
    <cellStyle name="Ввод  5" xfId="583"/>
    <cellStyle name="Ввод  5 2" xfId="584"/>
    <cellStyle name="Ввод  5 3" xfId="585"/>
    <cellStyle name="Ввод  6" xfId="586"/>
    <cellStyle name="Ввод  6 2" xfId="587"/>
    <cellStyle name="Ввод  7" xfId="588"/>
    <cellStyle name="Ввод  7 2" xfId="589"/>
    <cellStyle name="Ввод  8" xfId="590"/>
    <cellStyle name="Вывод" xfId="591" builtinId="21" customBuiltin="1"/>
    <cellStyle name="Вывод 2" xfId="592"/>
    <cellStyle name="Вывод 2 2" xfId="593"/>
    <cellStyle name="Вывод 2 3" xfId="594"/>
    <cellStyle name="Вывод 3" xfId="595"/>
    <cellStyle name="Вывод 3 2" xfId="596"/>
    <cellStyle name="Вывод 3 3" xfId="597"/>
    <cellStyle name="Вывод 4" xfId="598"/>
    <cellStyle name="Вывод 4 2" xfId="599"/>
    <cellStyle name="Вывод 4 3" xfId="600"/>
    <cellStyle name="Вывод 5" xfId="601"/>
    <cellStyle name="Вывод 5 2" xfId="602"/>
    <cellStyle name="Вывод 5 3" xfId="603"/>
    <cellStyle name="Вывод 6" xfId="604"/>
    <cellStyle name="Вывод 6 2" xfId="605"/>
    <cellStyle name="Вывод 7" xfId="606"/>
    <cellStyle name="Вывод 7 2" xfId="607"/>
    <cellStyle name="Вывод 8" xfId="608"/>
    <cellStyle name="Вычисление" xfId="609" builtinId="22" customBuiltin="1"/>
    <cellStyle name="Вычисление 2" xfId="610"/>
    <cellStyle name="Вычисление 2 2" xfId="611"/>
    <cellStyle name="Вычисление 2 3" xfId="612"/>
    <cellStyle name="Вычисление 3" xfId="613"/>
    <cellStyle name="Вычисление 3 2" xfId="614"/>
    <cellStyle name="Вычисление 3 3" xfId="615"/>
    <cellStyle name="Вычисление 4" xfId="616"/>
    <cellStyle name="Вычисление 4 2" xfId="617"/>
    <cellStyle name="Вычисление 4 3" xfId="618"/>
    <cellStyle name="Вычисление 5" xfId="619"/>
    <cellStyle name="Вычисление 5 2" xfId="620"/>
    <cellStyle name="Вычисление 5 3" xfId="621"/>
    <cellStyle name="Вычисление 6" xfId="622"/>
    <cellStyle name="Вычисление 6 2" xfId="623"/>
    <cellStyle name="Вычисление 7" xfId="624"/>
    <cellStyle name="Вычисление 7 2" xfId="625"/>
    <cellStyle name="Вычисление 8" xfId="626"/>
    <cellStyle name="Заголовок 1" xfId="627" builtinId="16" customBuiltin="1"/>
    <cellStyle name="Заголовок 1 2" xfId="628"/>
    <cellStyle name="Заголовок 1 2 2" xfId="629"/>
    <cellStyle name="Заголовок 1 2 3" xfId="630"/>
    <cellStyle name="Заголовок 1 3" xfId="631"/>
    <cellStyle name="Заголовок 1 3 2" xfId="632"/>
    <cellStyle name="Заголовок 1 3 3" xfId="633"/>
    <cellStyle name="Заголовок 1 4" xfId="634"/>
    <cellStyle name="Заголовок 1 4 2" xfId="635"/>
    <cellStyle name="Заголовок 1 4 3" xfId="636"/>
    <cellStyle name="Заголовок 1 5" xfId="637"/>
    <cellStyle name="Заголовок 1 5 2" xfId="638"/>
    <cellStyle name="Заголовок 1 5 3" xfId="639"/>
    <cellStyle name="Заголовок 1 6" xfId="640"/>
    <cellStyle name="Заголовок 1 6 2" xfId="641"/>
    <cellStyle name="Заголовок 1 7" xfId="642"/>
    <cellStyle name="Заголовок 1 7 2" xfId="643"/>
    <cellStyle name="Заголовок 1 8" xfId="644"/>
    <cellStyle name="Заголовок 2" xfId="645" builtinId="17" customBuiltin="1"/>
    <cellStyle name="Заголовок 2 2" xfId="646"/>
    <cellStyle name="Заголовок 2 2 2" xfId="647"/>
    <cellStyle name="Заголовок 2 2 3" xfId="648"/>
    <cellStyle name="Заголовок 2 3" xfId="649"/>
    <cellStyle name="Заголовок 2 3 2" xfId="650"/>
    <cellStyle name="Заголовок 2 3 3" xfId="651"/>
    <cellStyle name="Заголовок 2 4" xfId="652"/>
    <cellStyle name="Заголовок 2 4 2" xfId="653"/>
    <cellStyle name="Заголовок 2 4 3" xfId="654"/>
    <cellStyle name="Заголовок 2 5" xfId="655"/>
    <cellStyle name="Заголовок 2 5 2" xfId="656"/>
    <cellStyle name="Заголовок 2 5 3" xfId="657"/>
    <cellStyle name="Заголовок 2 6" xfId="658"/>
    <cellStyle name="Заголовок 2 6 2" xfId="659"/>
    <cellStyle name="Заголовок 2 7" xfId="660"/>
    <cellStyle name="Заголовок 2 7 2" xfId="661"/>
    <cellStyle name="Заголовок 2 8" xfId="662"/>
    <cellStyle name="Заголовок 3" xfId="663" builtinId="18" customBuiltin="1"/>
    <cellStyle name="Заголовок 3 2" xfId="664"/>
    <cellStyle name="Заголовок 3 2 2" xfId="665"/>
    <cellStyle name="Заголовок 3 2 3" xfId="666"/>
    <cellStyle name="Заголовок 3 3" xfId="667"/>
    <cellStyle name="Заголовок 3 3 2" xfId="668"/>
    <cellStyle name="Заголовок 3 3 3" xfId="669"/>
    <cellStyle name="Заголовок 3 4" xfId="670"/>
    <cellStyle name="Заголовок 3 4 2" xfId="671"/>
    <cellStyle name="Заголовок 3 4 3" xfId="672"/>
    <cellStyle name="Заголовок 3 5" xfId="673"/>
    <cellStyle name="Заголовок 3 5 2" xfId="674"/>
    <cellStyle name="Заголовок 3 5 3" xfId="675"/>
    <cellStyle name="Заголовок 3 6" xfId="676"/>
    <cellStyle name="Заголовок 3 6 2" xfId="677"/>
    <cellStyle name="Заголовок 3 7" xfId="678"/>
    <cellStyle name="Заголовок 3 7 2" xfId="679"/>
    <cellStyle name="Заголовок 3 8" xfId="680"/>
    <cellStyle name="Заголовок 4" xfId="681" builtinId="19" customBuiltin="1"/>
    <cellStyle name="Заголовок 4 2" xfId="682"/>
    <cellStyle name="Заголовок 4 2 2" xfId="683"/>
    <cellStyle name="Заголовок 4 2 3" xfId="684"/>
    <cellStyle name="Заголовок 4 3" xfId="685"/>
    <cellStyle name="Заголовок 4 3 2" xfId="686"/>
    <cellStyle name="Заголовок 4 3 3" xfId="687"/>
    <cellStyle name="Заголовок 4 4" xfId="688"/>
    <cellStyle name="Заголовок 4 4 2" xfId="689"/>
    <cellStyle name="Заголовок 4 4 3" xfId="690"/>
    <cellStyle name="Заголовок 4 5" xfId="691"/>
    <cellStyle name="Заголовок 4 5 2" xfId="692"/>
    <cellStyle name="Заголовок 4 5 3" xfId="693"/>
    <cellStyle name="Заголовок 4 6" xfId="694"/>
    <cellStyle name="Заголовок 4 6 2" xfId="695"/>
    <cellStyle name="Заголовок 4 7" xfId="696"/>
    <cellStyle name="Заголовок 4 7 2" xfId="697"/>
    <cellStyle name="Заголовок 4 8" xfId="698"/>
    <cellStyle name="Итог" xfId="699" builtinId="25" customBuiltin="1"/>
    <cellStyle name="Итог 2" xfId="700"/>
    <cellStyle name="Итог 2 2" xfId="701"/>
    <cellStyle name="Итог 2 3" xfId="702"/>
    <cellStyle name="Итог 3" xfId="703"/>
    <cellStyle name="Итог 3 2" xfId="704"/>
    <cellStyle name="Итог 3 3" xfId="705"/>
    <cellStyle name="Итог 4" xfId="706"/>
    <cellStyle name="Итог 4 2" xfId="707"/>
    <cellStyle name="Итог 4 3" xfId="708"/>
    <cellStyle name="Итог 5" xfId="709"/>
    <cellStyle name="Итог 5 2" xfId="710"/>
    <cellStyle name="Итог 5 3" xfId="711"/>
    <cellStyle name="Итог 6" xfId="712"/>
    <cellStyle name="Итог 6 2" xfId="713"/>
    <cellStyle name="Итог 7" xfId="714"/>
    <cellStyle name="Итог 7 2" xfId="715"/>
    <cellStyle name="Итог 8" xfId="716"/>
    <cellStyle name="Контрольная ячейка" xfId="717" builtinId="23" customBuiltin="1"/>
    <cellStyle name="Контрольная ячейка 2" xfId="718"/>
    <cellStyle name="Контрольная ячейка 2 2" xfId="719"/>
    <cellStyle name="Контрольная ячейка 2 3" xfId="720"/>
    <cellStyle name="Контрольная ячейка 3" xfId="721"/>
    <cellStyle name="Контрольная ячейка 3 2" xfId="722"/>
    <cellStyle name="Контрольная ячейка 3 3" xfId="723"/>
    <cellStyle name="Контрольная ячейка 4" xfId="724"/>
    <cellStyle name="Контрольная ячейка 4 2" xfId="725"/>
    <cellStyle name="Контрольная ячейка 4 3" xfId="726"/>
    <cellStyle name="Контрольная ячейка 5" xfId="727"/>
    <cellStyle name="Контрольная ячейка 5 2" xfId="728"/>
    <cellStyle name="Контрольная ячейка 5 3" xfId="729"/>
    <cellStyle name="Контрольная ячейка 6" xfId="730"/>
    <cellStyle name="Контрольная ячейка 6 2" xfId="731"/>
    <cellStyle name="Контрольная ячейка 7" xfId="732"/>
    <cellStyle name="Контрольная ячейка 7 2" xfId="733"/>
    <cellStyle name="Контрольная ячейка 8" xfId="734"/>
    <cellStyle name="Название" xfId="735" builtinId="15" customBuiltin="1"/>
    <cellStyle name="Название 2" xfId="736"/>
    <cellStyle name="Название 2 2" xfId="737"/>
    <cellStyle name="Название 2 3" xfId="738"/>
    <cellStyle name="Название 3" xfId="739"/>
    <cellStyle name="Название 3 2" xfId="740"/>
    <cellStyle name="Название 3 3" xfId="741"/>
    <cellStyle name="Название 4" xfId="742"/>
    <cellStyle name="Название 4 2" xfId="743"/>
    <cellStyle name="Название 4 3" xfId="744"/>
    <cellStyle name="Название 5" xfId="745"/>
    <cellStyle name="Название 5 2" xfId="746"/>
    <cellStyle name="Название 5 3" xfId="747"/>
    <cellStyle name="Название 6" xfId="748"/>
    <cellStyle name="Название 6 2" xfId="749"/>
    <cellStyle name="Название 7" xfId="750"/>
    <cellStyle name="Название 7 2" xfId="751"/>
    <cellStyle name="Название 8" xfId="752"/>
    <cellStyle name="Нейтральный" xfId="753" builtinId="28" customBuiltin="1"/>
    <cellStyle name="Нейтральный 2" xfId="754"/>
    <cellStyle name="Нейтральный 2 2" xfId="755"/>
    <cellStyle name="Нейтральный 2 3" xfId="756"/>
    <cellStyle name="Нейтральный 3" xfId="757"/>
    <cellStyle name="Нейтральный 3 2" xfId="758"/>
    <cellStyle name="Нейтральный 3 3" xfId="759"/>
    <cellStyle name="Нейтральный 4" xfId="760"/>
    <cellStyle name="Нейтральный 4 2" xfId="761"/>
    <cellStyle name="Нейтральный 4 3" xfId="762"/>
    <cellStyle name="Нейтральный 5" xfId="763"/>
    <cellStyle name="Нейтральный 5 2" xfId="764"/>
    <cellStyle name="Нейтральный 5 3" xfId="765"/>
    <cellStyle name="Нейтральный 6" xfId="766"/>
    <cellStyle name="Нейтральный 6 2" xfId="767"/>
    <cellStyle name="Нейтральный 7" xfId="768"/>
    <cellStyle name="Нейтральный 7 2" xfId="769"/>
    <cellStyle name="Нейтральный 8" xfId="770"/>
    <cellStyle name="Обычный" xfId="0" builtinId="0"/>
    <cellStyle name="Обычный 12" xfId="771"/>
    <cellStyle name="Обычный 13" xfId="772"/>
    <cellStyle name="Обычный 14" xfId="773"/>
    <cellStyle name="Обычный 2" xfId="774"/>
    <cellStyle name="Обычный 2 2" xfId="775"/>
    <cellStyle name="Обычный 2 4" xfId="911"/>
    <cellStyle name="Обычный 3 2" xfId="776"/>
    <cellStyle name="Обычный_Бюджет МО МР (для сессии)" xfId="777"/>
    <cellStyle name="Обычный_Бюджет МО МР (для сессии)_ОПЕР район 2012" xfId="778"/>
    <cellStyle name="Плохой" xfId="779" builtinId="27" customBuiltin="1"/>
    <cellStyle name="Плохой 2" xfId="780"/>
    <cellStyle name="Плохой 2 2" xfId="781"/>
    <cellStyle name="Плохой 2 3" xfId="782"/>
    <cellStyle name="Плохой 3" xfId="783"/>
    <cellStyle name="Плохой 3 2" xfId="784"/>
    <cellStyle name="Плохой 3 3" xfId="785"/>
    <cellStyle name="Плохой 4" xfId="786"/>
    <cellStyle name="Плохой 4 2" xfId="787"/>
    <cellStyle name="Плохой 4 3" xfId="788"/>
    <cellStyle name="Плохой 5" xfId="789"/>
    <cellStyle name="Плохой 5 2" xfId="790"/>
    <cellStyle name="Плохой 5 3" xfId="791"/>
    <cellStyle name="Плохой 6" xfId="792"/>
    <cellStyle name="Плохой 6 2" xfId="793"/>
    <cellStyle name="Плохой 7" xfId="794"/>
    <cellStyle name="Плохой 7 2" xfId="795"/>
    <cellStyle name="Плохой 8" xfId="796"/>
    <cellStyle name="Пояснение" xfId="797" builtinId="53" customBuiltin="1"/>
    <cellStyle name="Пояснение 2" xfId="798"/>
    <cellStyle name="Пояснение 2 2" xfId="799"/>
    <cellStyle name="Пояснение 2 3" xfId="800"/>
    <cellStyle name="Пояснение 3" xfId="801"/>
    <cellStyle name="Пояснение 3 2" xfId="802"/>
    <cellStyle name="Пояснение 3 3" xfId="803"/>
    <cellStyle name="Пояснение 4" xfId="804"/>
    <cellStyle name="Пояснение 4 2" xfId="805"/>
    <cellStyle name="Пояснение 4 3" xfId="806"/>
    <cellStyle name="Пояснение 5" xfId="807"/>
    <cellStyle name="Пояснение 5 2" xfId="808"/>
    <cellStyle name="Пояснение 5 3" xfId="809"/>
    <cellStyle name="Пояснение 6" xfId="810"/>
    <cellStyle name="Пояснение 6 2" xfId="811"/>
    <cellStyle name="Пояснение 7" xfId="812"/>
    <cellStyle name="Пояснение 7 2" xfId="813"/>
    <cellStyle name="Пояснение 8" xfId="814"/>
    <cellStyle name="Примечание 10" xfId="815"/>
    <cellStyle name="Примечание 10 2" xfId="816"/>
    <cellStyle name="Примечание 11" xfId="817"/>
    <cellStyle name="Примечание 11 2" xfId="818"/>
    <cellStyle name="Примечание 12" xfId="819"/>
    <cellStyle name="Примечание 12 2" xfId="820"/>
    <cellStyle name="Примечание 13" xfId="821"/>
    <cellStyle name="Примечание 13 2" xfId="822"/>
    <cellStyle name="Примечание 14" xfId="823"/>
    <cellStyle name="Примечание 14 2" xfId="824"/>
    <cellStyle name="Примечание 15" xfId="825"/>
    <cellStyle name="Примечание 15 2" xfId="826"/>
    <cellStyle name="Примечание 2" xfId="827"/>
    <cellStyle name="Примечание 2 2" xfId="828"/>
    <cellStyle name="Примечание 2 3" xfId="829"/>
    <cellStyle name="Примечание 3" xfId="830"/>
    <cellStyle name="Примечание 3 2" xfId="831"/>
    <cellStyle name="Примечание 3 3" xfId="832"/>
    <cellStyle name="Примечание 4" xfId="833"/>
    <cellStyle name="Примечание 4 2" xfId="834"/>
    <cellStyle name="Примечание 4 3" xfId="835"/>
    <cellStyle name="Примечание 5" xfId="836"/>
    <cellStyle name="Примечание 5 2" xfId="837"/>
    <cellStyle name="Примечание 5 3" xfId="838"/>
    <cellStyle name="Примечание 6" xfId="839"/>
    <cellStyle name="Примечание 6 2" xfId="840"/>
    <cellStyle name="Примечание 7" xfId="841"/>
    <cellStyle name="Примечание 7 2" xfId="842"/>
    <cellStyle name="Примечание 8" xfId="843"/>
    <cellStyle name="Примечание 8 2" xfId="844"/>
    <cellStyle name="Примечание 9" xfId="845"/>
    <cellStyle name="Примечание 9 2" xfId="846"/>
    <cellStyle name="Связанная ячейка" xfId="847" builtinId="24" customBuiltin="1"/>
    <cellStyle name="Связанная ячейка 2" xfId="848"/>
    <cellStyle name="Связанная ячейка 2 2" xfId="849"/>
    <cellStyle name="Связанная ячейка 2 3" xfId="850"/>
    <cellStyle name="Связанная ячейка 3" xfId="851"/>
    <cellStyle name="Связанная ячейка 3 2" xfId="852"/>
    <cellStyle name="Связанная ячейка 3 3" xfId="853"/>
    <cellStyle name="Связанная ячейка 4" xfId="854"/>
    <cellStyle name="Связанная ячейка 4 2" xfId="855"/>
    <cellStyle name="Связанная ячейка 4 3" xfId="856"/>
    <cellStyle name="Связанная ячейка 5" xfId="857"/>
    <cellStyle name="Связанная ячейка 5 2" xfId="858"/>
    <cellStyle name="Связанная ячейка 5 3" xfId="859"/>
    <cellStyle name="Связанная ячейка 6" xfId="860"/>
    <cellStyle name="Связанная ячейка 6 2" xfId="861"/>
    <cellStyle name="Связанная ячейка 7" xfId="862"/>
    <cellStyle name="Связанная ячейка 7 2" xfId="863"/>
    <cellStyle name="Связанная ячейка 8" xfId="864"/>
    <cellStyle name="Стиль 1" xfId="865"/>
    <cellStyle name="Текст предупреждения" xfId="866" builtinId="11" customBuiltin="1"/>
    <cellStyle name="Текст предупреждения 2" xfId="867"/>
    <cellStyle name="Текст предупреждения 2 2" xfId="868"/>
    <cellStyle name="Текст предупреждения 2 3" xfId="869"/>
    <cellStyle name="Текст предупреждения 3" xfId="870"/>
    <cellStyle name="Текст предупреждения 3 2" xfId="871"/>
    <cellStyle name="Текст предупреждения 3 3" xfId="872"/>
    <cellStyle name="Текст предупреждения 4" xfId="873"/>
    <cellStyle name="Текст предупреждения 4 2" xfId="874"/>
    <cellStyle name="Текст предупреждения 4 3" xfId="875"/>
    <cellStyle name="Текст предупреждения 5" xfId="876"/>
    <cellStyle name="Текст предупреждения 5 2" xfId="877"/>
    <cellStyle name="Текст предупреждения 5 3" xfId="878"/>
    <cellStyle name="Текст предупреждения 6" xfId="879"/>
    <cellStyle name="Текст предупреждения 6 2" xfId="880"/>
    <cellStyle name="Текст предупреждения 7" xfId="881"/>
    <cellStyle name="Текст предупреждения 7 2" xfId="882"/>
    <cellStyle name="Текст предупреждения 8" xfId="883"/>
    <cellStyle name="Финансовый" xfId="884" builtinId="3"/>
    <cellStyle name="Финансовый 2" xfId="885"/>
    <cellStyle name="Финансовый 2 2" xfId="886"/>
    <cellStyle name="Финансовый 2 3" xfId="887"/>
    <cellStyle name="Финансовый 2 4" xfId="888"/>
    <cellStyle name="Финансовый 2 5" xfId="889"/>
    <cellStyle name="Финансовый 2 6" xfId="890"/>
    <cellStyle name="Финансовый 2 7" xfId="891"/>
    <cellStyle name="Финансовый 3 2" xfId="892"/>
    <cellStyle name="Хороший" xfId="893" builtinId="26" customBuiltin="1"/>
    <cellStyle name="Хороший 2" xfId="894"/>
    <cellStyle name="Хороший 2 2" xfId="895"/>
    <cellStyle name="Хороший 2 3" xfId="896"/>
    <cellStyle name="Хороший 3" xfId="897"/>
    <cellStyle name="Хороший 3 2" xfId="898"/>
    <cellStyle name="Хороший 3 3" xfId="899"/>
    <cellStyle name="Хороший 4" xfId="900"/>
    <cellStyle name="Хороший 4 2" xfId="901"/>
    <cellStyle name="Хороший 4 3" xfId="902"/>
    <cellStyle name="Хороший 5" xfId="903"/>
    <cellStyle name="Хороший 5 2" xfId="904"/>
    <cellStyle name="Хороший 5 3" xfId="905"/>
    <cellStyle name="Хороший 6" xfId="906"/>
    <cellStyle name="Хороший 6 2" xfId="907"/>
    <cellStyle name="Хороший 7" xfId="908"/>
    <cellStyle name="Хороший 7 2" xfId="909"/>
    <cellStyle name="Хороший 8" xfId="9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I207"/>
  <sheetViews>
    <sheetView tabSelected="1" topLeftCell="B2" workbookViewId="0">
      <selection activeCell="Q12" sqref="Q12"/>
    </sheetView>
  </sheetViews>
  <sheetFormatPr defaultColWidth="9.140625" defaultRowHeight="14.25"/>
  <cols>
    <col min="1" max="1" width="0.140625" style="30" hidden="1" customWidth="1"/>
    <col min="2" max="2" width="29.42578125" style="31" customWidth="1"/>
    <col min="3" max="3" width="69.7109375" style="31" customWidth="1"/>
    <col min="4" max="4" width="18.140625" style="19" hidden="1" customWidth="1"/>
    <col min="5" max="5" width="20.5703125" style="19" hidden="1" customWidth="1"/>
    <col min="6" max="6" width="19.28515625" style="19" hidden="1" customWidth="1"/>
    <col min="7" max="7" width="18.85546875" style="19" hidden="1" customWidth="1"/>
    <col min="8" max="8" width="19.140625" style="19" hidden="1" customWidth="1"/>
    <col min="9" max="9" width="16.85546875" style="19" hidden="1" customWidth="1"/>
    <col min="10" max="10" width="12.7109375" style="19" hidden="1" customWidth="1"/>
    <col min="11" max="15" width="18.42578125" style="19" hidden="1" customWidth="1"/>
    <col min="16" max="16" width="20.140625" style="19" hidden="1" customWidth="1"/>
    <col min="17" max="17" width="17.42578125" style="19" customWidth="1"/>
    <col min="18" max="18" width="17.7109375" style="19" customWidth="1"/>
    <col min="19" max="19" width="3.28515625" style="19" hidden="1" customWidth="1"/>
    <col min="20" max="20" width="13.140625" style="32" customWidth="1"/>
    <col min="21" max="21" width="20.5703125" style="31" hidden="1" customWidth="1"/>
    <col min="22" max="22" width="18.28515625" style="31" hidden="1" customWidth="1"/>
    <col min="23" max="23" width="17.42578125" style="31" customWidth="1"/>
    <col min="24" max="24" width="14.140625" style="31" hidden="1" customWidth="1"/>
    <col min="25" max="25" width="14.140625" style="31" customWidth="1"/>
    <col min="26" max="26" width="9.140625" style="31" customWidth="1"/>
    <col min="27" max="27" width="12" style="31" customWidth="1"/>
    <col min="28" max="28" width="10.7109375" style="30" hidden="1" customWidth="1"/>
    <col min="29" max="16384" width="9.140625" style="31"/>
  </cols>
  <sheetData>
    <row r="1" spans="1:28" hidden="1"/>
    <row r="2" spans="1:28">
      <c r="R2" s="122" t="s">
        <v>294</v>
      </c>
      <c r="S2" s="122"/>
      <c r="T2" s="122"/>
      <c r="U2" s="33"/>
      <c r="V2" s="33"/>
      <c r="W2" s="33"/>
      <c r="X2" s="33"/>
      <c r="Y2" s="33"/>
      <c r="Z2" s="33"/>
      <c r="AA2" s="33"/>
    </row>
    <row r="3" spans="1:28" ht="15.75"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T3" s="35"/>
      <c r="U3" s="35" t="s">
        <v>291</v>
      </c>
    </row>
    <row r="4" spans="1:28" ht="15.75"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123"/>
      <c r="R4" s="123"/>
      <c r="S4" s="123"/>
      <c r="T4" s="123"/>
      <c r="U4" s="5"/>
      <c r="X4" s="19"/>
    </row>
    <row r="5" spans="1:28" ht="15.75"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5"/>
    </row>
    <row r="6" spans="1:28" ht="15.75"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5"/>
    </row>
    <row r="7" spans="1:28" ht="15.75">
      <c r="B7" s="121" t="s">
        <v>292</v>
      </c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5"/>
    </row>
    <row r="8" spans="1:28" ht="15.75"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</row>
    <row r="9" spans="1:28" ht="14.25" customHeight="1"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</row>
    <row r="10" spans="1:28" ht="14.25" customHeight="1"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7" t="s">
        <v>65</v>
      </c>
      <c r="U10" s="38"/>
    </row>
    <row r="11" spans="1:28" s="38" customFormat="1" ht="51" customHeight="1">
      <c r="A11" s="39" t="s">
        <v>64</v>
      </c>
      <c r="B11" s="40" t="s">
        <v>274</v>
      </c>
      <c r="C11" s="41" t="s">
        <v>156</v>
      </c>
      <c r="D11" s="6" t="s">
        <v>162</v>
      </c>
      <c r="E11" s="6" t="s">
        <v>181</v>
      </c>
      <c r="F11" s="6" t="s">
        <v>178</v>
      </c>
      <c r="G11" s="21" t="s">
        <v>114</v>
      </c>
      <c r="H11" s="6" t="s">
        <v>182</v>
      </c>
      <c r="I11" s="6" t="s">
        <v>168</v>
      </c>
      <c r="J11" s="6" t="s">
        <v>171</v>
      </c>
      <c r="K11" s="6" t="s">
        <v>169</v>
      </c>
      <c r="L11" s="6" t="s">
        <v>170</v>
      </c>
      <c r="M11" s="6" t="s">
        <v>183</v>
      </c>
      <c r="N11" s="6" t="s">
        <v>184</v>
      </c>
      <c r="O11" s="6" t="s">
        <v>195</v>
      </c>
      <c r="P11" s="6" t="s">
        <v>286</v>
      </c>
      <c r="Q11" s="6" t="s">
        <v>258</v>
      </c>
      <c r="R11" s="6" t="s">
        <v>290</v>
      </c>
      <c r="S11" s="6" t="s">
        <v>114</v>
      </c>
      <c r="T11" s="42" t="s">
        <v>284</v>
      </c>
      <c r="U11" s="40" t="s">
        <v>277</v>
      </c>
      <c r="V11" s="41" t="s">
        <v>276</v>
      </c>
      <c r="AB11" s="40" t="s">
        <v>166</v>
      </c>
    </row>
    <row r="12" spans="1:28" s="46" customFormat="1" ht="23.25" customHeight="1">
      <c r="A12" s="38"/>
      <c r="B12" s="41"/>
      <c r="C12" s="41" t="s">
        <v>3</v>
      </c>
      <c r="D12" s="7">
        <f>D13+D38+D44+D28</f>
        <v>1877183811.76</v>
      </c>
      <c r="E12" s="7">
        <f>E13+E38+E44+E28</f>
        <v>553166408.51000011</v>
      </c>
      <c r="F12" s="7">
        <f>F13+F38+F44+F28</f>
        <v>0</v>
      </c>
      <c r="G12" s="7">
        <f>F12-E12</f>
        <v>-553166408.51000011</v>
      </c>
      <c r="H12" s="7">
        <f>H13+H38+H44+H28</f>
        <v>519620996.5</v>
      </c>
      <c r="I12" s="7">
        <f>I13+I38+I44+I28</f>
        <v>1929310926.76</v>
      </c>
      <c r="J12" s="7" t="e">
        <f>I12/F12*100</f>
        <v>#DIV/0!</v>
      </c>
      <c r="K12" s="7">
        <f t="shared" ref="K12:O12" si="0">K13+K38+K44+K28</f>
        <v>1895255530</v>
      </c>
      <c r="L12" s="7">
        <f t="shared" si="0"/>
        <v>2011239630</v>
      </c>
      <c r="M12" s="7">
        <f t="shared" si="0"/>
        <v>1946320609.3</v>
      </c>
      <c r="N12" s="7">
        <f t="shared" si="0"/>
        <v>1956220609.3</v>
      </c>
      <c r="O12" s="7">
        <f t="shared" si="0"/>
        <v>842740504.13999999</v>
      </c>
      <c r="P12" s="7">
        <f>P13+P38+P44+P28</f>
        <v>2005450756.45</v>
      </c>
      <c r="Q12" s="7">
        <v>2005450756.45</v>
      </c>
      <c r="R12" s="7">
        <v>2113072563.9899998</v>
      </c>
      <c r="S12" s="7">
        <v>107621807.53999972</v>
      </c>
      <c r="T12" s="43">
        <v>1.0536646473087723</v>
      </c>
      <c r="U12" s="7">
        <f>U13+U38+U44+U28</f>
        <v>2033085934.7199998</v>
      </c>
      <c r="V12" s="44">
        <f t="shared" ref="V12:V36" si="1">U12-P12</f>
        <v>27635178.269999743</v>
      </c>
      <c r="W12" s="45"/>
      <c r="AB12" s="47" t="e">
        <f>H12/F12*100</f>
        <v>#DIV/0!</v>
      </c>
    </row>
    <row r="13" spans="1:28" s="46" customFormat="1" ht="15">
      <c r="A13" s="38"/>
      <c r="B13" s="41"/>
      <c r="C13" s="41" t="s">
        <v>5</v>
      </c>
      <c r="D13" s="8">
        <f>D15+D22+D23+D17</f>
        <v>1613823231.76</v>
      </c>
      <c r="E13" s="8">
        <f>E15+E22+E23+E17</f>
        <v>498096480.0200001</v>
      </c>
      <c r="F13" s="8">
        <f>F15+F22+F23+F17</f>
        <v>0</v>
      </c>
      <c r="G13" s="8">
        <f>F13-E13</f>
        <v>-498096480.0200001</v>
      </c>
      <c r="H13" s="8">
        <f>H15+H22+H23+H17</f>
        <v>466002620.51999998</v>
      </c>
      <c r="I13" s="8">
        <f>I15+I22+I23+I17</f>
        <v>1668561726.76</v>
      </c>
      <c r="J13" s="7" t="e">
        <f t="shared" ref="J13:J81" si="2">I13/F13*100</f>
        <v>#DIV/0!</v>
      </c>
      <c r="K13" s="8">
        <f t="shared" ref="K13:O13" si="3">K15+K22+K23+K17</f>
        <v>1617215430</v>
      </c>
      <c r="L13" s="8">
        <f t="shared" si="3"/>
        <v>1721944430</v>
      </c>
      <c r="M13" s="8">
        <f t="shared" si="3"/>
        <v>1679184209.3</v>
      </c>
      <c r="N13" s="8">
        <f t="shared" si="3"/>
        <v>1689084209.3</v>
      </c>
      <c r="O13" s="8">
        <f t="shared" si="3"/>
        <v>730895453.13</v>
      </c>
      <c r="P13" s="8">
        <f>P15+P16+P17+P22+P23</f>
        <v>1751343457.9000001</v>
      </c>
      <c r="Q13" s="8">
        <v>1751343457.9000001</v>
      </c>
      <c r="R13" s="8">
        <v>1863510969.1499999</v>
      </c>
      <c r="S13" s="7">
        <v>112167511.24999976</v>
      </c>
      <c r="T13" s="43">
        <v>1.0640465528015262</v>
      </c>
      <c r="U13" s="8">
        <f>U15+U16+U17+U22+U23</f>
        <v>1787978311.8699999</v>
      </c>
      <c r="V13" s="44">
        <f t="shared" si="1"/>
        <v>36634853.96999979</v>
      </c>
      <c r="W13" s="45"/>
      <c r="AB13" s="47" t="e">
        <f>H13/F13*100</f>
        <v>#DIV/0!</v>
      </c>
    </row>
    <row r="14" spans="1:28" s="46" customFormat="1" ht="15" customHeight="1">
      <c r="A14" s="38"/>
      <c r="B14" s="48"/>
      <c r="C14" s="48"/>
      <c r="D14" s="7"/>
      <c r="E14" s="7"/>
      <c r="F14" s="7"/>
      <c r="G14" s="7">
        <f>F14-E14</f>
        <v>0</v>
      </c>
      <c r="H14" s="7"/>
      <c r="I14" s="7"/>
      <c r="J14" s="9"/>
      <c r="K14" s="7"/>
      <c r="L14" s="7"/>
      <c r="M14" s="7"/>
      <c r="N14" s="7"/>
      <c r="O14" s="7"/>
      <c r="P14" s="7"/>
      <c r="Q14" s="7"/>
      <c r="R14" s="7"/>
      <c r="S14" s="7"/>
      <c r="T14" s="43"/>
      <c r="U14" s="7"/>
      <c r="V14" s="49">
        <f t="shared" si="1"/>
        <v>0</v>
      </c>
      <c r="W14" s="45"/>
      <c r="AB14" s="50"/>
    </row>
    <row r="15" spans="1:28">
      <c r="B15" s="51" t="s">
        <v>12</v>
      </c>
      <c r="C15" s="52" t="s">
        <v>293</v>
      </c>
      <c r="D15" s="9">
        <v>1536308000</v>
      </c>
      <c r="E15" s="9">
        <f>469402458.22+616232.67+253645.35+5005740</f>
        <v>475278076.24000007</v>
      </c>
      <c r="F15" s="9"/>
      <c r="G15" s="9"/>
      <c r="H15" s="9">
        <v>440228922.29000002</v>
      </c>
      <c r="I15" s="9">
        <v>1592844495</v>
      </c>
      <c r="J15" s="9" t="e">
        <f t="shared" si="2"/>
        <v>#DIV/0!</v>
      </c>
      <c r="K15" s="9">
        <f>1598903000+7500000</f>
        <v>1606403000</v>
      </c>
      <c r="L15" s="9">
        <f>1703652000+7500000</f>
        <v>1711152000</v>
      </c>
      <c r="M15" s="9">
        <v>1650398000</v>
      </c>
      <c r="N15" s="9">
        <v>1650398000</v>
      </c>
      <c r="O15" s="9">
        <v>684201989.45000005</v>
      </c>
      <c r="P15" s="9">
        <v>1647488000</v>
      </c>
      <c r="Q15" s="9">
        <v>1660988000</v>
      </c>
      <c r="R15" s="9">
        <v>1757244712.9300001</v>
      </c>
      <c r="S15" s="9">
        <v>96256712.930000067</v>
      </c>
      <c r="T15" s="53">
        <v>1.057951480040795</v>
      </c>
      <c r="U15" s="9">
        <v>1670000000</v>
      </c>
      <c r="V15" s="49">
        <f t="shared" si="1"/>
        <v>22512000</v>
      </c>
      <c r="W15" s="33"/>
      <c r="AB15" s="50" t="e">
        <f t="shared" ref="AB15:AB26" si="4">H15/F15*100</f>
        <v>#DIV/0!</v>
      </c>
    </row>
    <row r="16" spans="1:28" s="60" customFormat="1" ht="27" customHeight="1">
      <c r="A16" s="54"/>
      <c r="B16" s="55" t="s">
        <v>159</v>
      </c>
      <c r="C16" s="56" t="s">
        <v>157</v>
      </c>
      <c r="D16" s="10"/>
      <c r="E16" s="10">
        <v>5005740</v>
      </c>
      <c r="F16" s="10"/>
      <c r="G16" s="10"/>
      <c r="H16" s="10">
        <v>5344050</v>
      </c>
      <c r="I16" s="10"/>
      <c r="J16" s="10" t="e">
        <f>I16/F16*100</f>
        <v>#DIV/0!</v>
      </c>
      <c r="K16" s="10"/>
      <c r="L16" s="10"/>
      <c r="M16" s="10">
        <v>7500000</v>
      </c>
      <c r="N16" s="10">
        <v>7500000</v>
      </c>
      <c r="O16" s="10">
        <v>8765577</v>
      </c>
      <c r="P16" s="10">
        <v>13500000</v>
      </c>
      <c r="Q16" s="10">
        <v>13500000</v>
      </c>
      <c r="R16" s="10">
        <v>12569066</v>
      </c>
      <c r="S16" s="10">
        <v>-930934</v>
      </c>
      <c r="T16" s="57">
        <v>0.93104192592592594</v>
      </c>
      <c r="U16" s="10">
        <v>13500000</v>
      </c>
      <c r="V16" s="58">
        <f t="shared" si="1"/>
        <v>0</v>
      </c>
      <c r="W16" s="59"/>
      <c r="AB16" s="61" t="e">
        <f t="shared" si="4"/>
        <v>#DIV/0!</v>
      </c>
    </row>
    <row r="17" spans="1:28" ht="28.5">
      <c r="B17" s="62" t="s">
        <v>87</v>
      </c>
      <c r="C17" s="63" t="s">
        <v>88</v>
      </c>
      <c r="D17" s="9">
        <v>6289303.9699999997</v>
      </c>
      <c r="E17" s="9">
        <f>587437.23+5871.26+1093972.13-107750.39</f>
        <v>1579530.23</v>
      </c>
      <c r="F17" s="9"/>
      <c r="G17" s="9"/>
      <c r="H17" s="9">
        <v>1617217.95</v>
      </c>
      <c r="I17" s="9">
        <v>6289303.9699999997</v>
      </c>
      <c r="J17" s="9" t="e">
        <f t="shared" si="2"/>
        <v>#DIV/0!</v>
      </c>
      <c r="K17" s="9"/>
      <c r="L17" s="9"/>
      <c r="M17" s="9">
        <v>6823779.2999999998</v>
      </c>
      <c r="N17" s="9">
        <v>6823779.2999999998</v>
      </c>
      <c r="O17" s="9">
        <v>2759027.91</v>
      </c>
      <c r="P17" s="9">
        <v>4845149.7</v>
      </c>
      <c r="Q17" s="9">
        <v>4845149.7</v>
      </c>
      <c r="R17" s="9">
        <v>5413833.5899999999</v>
      </c>
      <c r="S17" s="9">
        <v>568683.88999999966</v>
      </c>
      <c r="T17" s="53">
        <v>1.1173717893587478</v>
      </c>
      <c r="U17" s="9">
        <v>4973618.8600000003</v>
      </c>
      <c r="V17" s="49">
        <f t="shared" si="1"/>
        <v>128469.16000000015</v>
      </c>
      <c r="W17" s="33"/>
      <c r="AB17" s="50" t="e">
        <f t="shared" si="4"/>
        <v>#DIV/0!</v>
      </c>
    </row>
    <row r="18" spans="1:28" ht="28.5" hidden="1">
      <c r="B18" s="64" t="s">
        <v>89</v>
      </c>
      <c r="C18" s="65" t="s">
        <v>90</v>
      </c>
      <c r="D18" s="9"/>
      <c r="E18" s="9"/>
      <c r="F18" s="9"/>
      <c r="G18" s="9">
        <f>F18-E18</f>
        <v>0</v>
      </c>
      <c r="H18" s="9"/>
      <c r="I18" s="9"/>
      <c r="J18" s="9" t="e">
        <f t="shared" si="2"/>
        <v>#DIV/0!</v>
      </c>
      <c r="K18" s="9"/>
      <c r="L18" s="9"/>
      <c r="M18" s="9"/>
      <c r="N18" s="9"/>
      <c r="O18" s="9"/>
      <c r="P18" s="9"/>
      <c r="Q18" s="9"/>
      <c r="R18" s="9"/>
      <c r="S18" s="9">
        <v>0</v>
      </c>
      <c r="T18" s="53" t="e">
        <v>#DIV/0!</v>
      </c>
      <c r="U18" s="9"/>
      <c r="V18" s="49">
        <f t="shared" si="1"/>
        <v>0</v>
      </c>
      <c r="W18" s="33"/>
      <c r="AB18" s="50" t="e">
        <f t="shared" si="4"/>
        <v>#DIV/0!</v>
      </c>
    </row>
    <row r="19" spans="1:28" ht="42.75" hidden="1">
      <c r="B19" s="64" t="s">
        <v>91</v>
      </c>
      <c r="C19" s="65" t="s">
        <v>92</v>
      </c>
      <c r="D19" s="9"/>
      <c r="E19" s="9"/>
      <c r="F19" s="9"/>
      <c r="G19" s="9">
        <f>F19-E19</f>
        <v>0</v>
      </c>
      <c r="H19" s="9"/>
      <c r="I19" s="9"/>
      <c r="J19" s="9" t="e">
        <f t="shared" si="2"/>
        <v>#DIV/0!</v>
      </c>
      <c r="K19" s="9"/>
      <c r="L19" s="9"/>
      <c r="M19" s="9"/>
      <c r="N19" s="9"/>
      <c r="O19" s="9"/>
      <c r="P19" s="9"/>
      <c r="Q19" s="9"/>
      <c r="R19" s="9"/>
      <c r="S19" s="9">
        <v>0</v>
      </c>
      <c r="T19" s="53" t="e">
        <v>#DIV/0!</v>
      </c>
      <c r="U19" s="9"/>
      <c r="V19" s="49">
        <f t="shared" si="1"/>
        <v>0</v>
      </c>
      <c r="W19" s="33"/>
      <c r="AB19" s="50" t="e">
        <f t="shared" si="4"/>
        <v>#DIV/0!</v>
      </c>
    </row>
    <row r="20" spans="1:28" ht="57" hidden="1">
      <c r="B20" s="64" t="s">
        <v>93</v>
      </c>
      <c r="C20" s="65" t="s">
        <v>94</v>
      </c>
      <c r="D20" s="9"/>
      <c r="E20" s="9"/>
      <c r="F20" s="9"/>
      <c r="G20" s="9">
        <f>F20-E20</f>
        <v>0</v>
      </c>
      <c r="H20" s="9"/>
      <c r="I20" s="9"/>
      <c r="J20" s="9" t="e">
        <f t="shared" si="2"/>
        <v>#DIV/0!</v>
      </c>
      <c r="K20" s="9"/>
      <c r="L20" s="9"/>
      <c r="M20" s="9"/>
      <c r="N20" s="9"/>
      <c r="O20" s="9"/>
      <c r="P20" s="9"/>
      <c r="Q20" s="9"/>
      <c r="R20" s="9"/>
      <c r="S20" s="9">
        <v>0</v>
      </c>
      <c r="T20" s="53" t="e">
        <v>#DIV/0!</v>
      </c>
      <c r="U20" s="9"/>
      <c r="V20" s="49">
        <f t="shared" si="1"/>
        <v>0</v>
      </c>
      <c r="W20" s="33"/>
      <c r="AB20" s="50" t="e">
        <f t="shared" si="4"/>
        <v>#DIV/0!</v>
      </c>
    </row>
    <row r="21" spans="1:28" ht="42.75" hidden="1">
      <c r="B21" s="64" t="s">
        <v>95</v>
      </c>
      <c r="C21" s="65" t="s">
        <v>96</v>
      </c>
      <c r="D21" s="9"/>
      <c r="E21" s="9"/>
      <c r="F21" s="9"/>
      <c r="G21" s="9">
        <f>F21-E21</f>
        <v>0</v>
      </c>
      <c r="H21" s="9"/>
      <c r="I21" s="9"/>
      <c r="J21" s="9" t="e">
        <f t="shared" si="2"/>
        <v>#DIV/0!</v>
      </c>
      <c r="K21" s="9"/>
      <c r="L21" s="9"/>
      <c r="M21" s="9"/>
      <c r="N21" s="9"/>
      <c r="O21" s="9"/>
      <c r="P21" s="9"/>
      <c r="Q21" s="9"/>
      <c r="R21" s="9"/>
      <c r="S21" s="9">
        <v>0</v>
      </c>
      <c r="T21" s="53" t="e">
        <v>#DIV/0!</v>
      </c>
      <c r="U21" s="9"/>
      <c r="V21" s="49">
        <f t="shared" si="1"/>
        <v>0</v>
      </c>
      <c r="W21" s="33"/>
      <c r="AB21" s="50" t="e">
        <f t="shared" si="4"/>
        <v>#DIV/0!</v>
      </c>
    </row>
    <row r="22" spans="1:28">
      <c r="B22" s="51" t="s">
        <v>13</v>
      </c>
      <c r="C22" s="66" t="s">
        <v>22</v>
      </c>
      <c r="D22" s="9">
        <v>58915927.789999999</v>
      </c>
      <c r="E22" s="9">
        <f>19248031.54</f>
        <v>19248031.539999999</v>
      </c>
      <c r="F22" s="9"/>
      <c r="G22" s="9"/>
      <c r="H22" s="9">
        <v>21208695</v>
      </c>
      <c r="I22" s="9">
        <v>58915927.789999999</v>
      </c>
      <c r="J22" s="9" t="e">
        <f t="shared" si="2"/>
        <v>#DIV/0!</v>
      </c>
      <c r="K22" s="9">
        <v>280430</v>
      </c>
      <c r="L22" s="9">
        <v>280430</v>
      </c>
      <c r="M22" s="9">
        <v>11280430</v>
      </c>
      <c r="N22" s="9">
        <v>21180430</v>
      </c>
      <c r="O22" s="9">
        <v>39024973.25</v>
      </c>
      <c r="P22" s="9">
        <f>44548700+29446608.2</f>
        <v>73995308.200000003</v>
      </c>
      <c r="Q22" s="9">
        <v>73995308.200000003</v>
      </c>
      <c r="R22" s="9">
        <v>86779156.870000005</v>
      </c>
      <c r="S22" s="9">
        <v>12783848.670000002</v>
      </c>
      <c r="T22" s="53">
        <v>1.1727656655668879</v>
      </c>
      <c r="U22" s="9">
        <v>86600000</v>
      </c>
      <c r="V22" s="49">
        <f>U22-P22</f>
        <v>12604691.799999997</v>
      </c>
      <c r="W22" s="33"/>
      <c r="AB22" s="50" t="e">
        <f t="shared" si="4"/>
        <v>#DIV/0!</v>
      </c>
    </row>
    <row r="23" spans="1:28">
      <c r="B23" s="51" t="s">
        <v>17</v>
      </c>
      <c r="C23" s="52" t="s">
        <v>10</v>
      </c>
      <c r="D23" s="9">
        <f t="shared" ref="D23:M23" si="5">D24+D25+D26</f>
        <v>12310000</v>
      </c>
      <c r="E23" s="9">
        <f t="shared" si="5"/>
        <v>1990842.01</v>
      </c>
      <c r="F23" s="9">
        <f t="shared" si="5"/>
        <v>0</v>
      </c>
      <c r="G23" s="9">
        <f t="shared" si="5"/>
        <v>0</v>
      </c>
      <c r="H23" s="9">
        <f t="shared" si="5"/>
        <v>2947785.28</v>
      </c>
      <c r="I23" s="9">
        <f t="shared" si="5"/>
        <v>10512000</v>
      </c>
      <c r="J23" s="9" t="e">
        <f t="shared" si="5"/>
        <v>#DIV/0!</v>
      </c>
      <c r="K23" s="9">
        <f t="shared" si="5"/>
        <v>10532000</v>
      </c>
      <c r="L23" s="9">
        <f t="shared" si="5"/>
        <v>10512000</v>
      </c>
      <c r="M23" s="9">
        <f t="shared" si="5"/>
        <v>10682000</v>
      </c>
      <c r="N23" s="9">
        <v>10682000</v>
      </c>
      <c r="O23" s="9">
        <v>4909462.5199999996</v>
      </c>
      <c r="P23" s="9">
        <f>P24+P25</f>
        <v>11515000</v>
      </c>
      <c r="Q23" s="9">
        <v>11515000</v>
      </c>
      <c r="R23" s="9">
        <v>14073265.76</v>
      </c>
      <c r="S23" s="9">
        <v>2558265.7599999998</v>
      </c>
      <c r="T23" s="53">
        <v>1.2221681076856274</v>
      </c>
      <c r="U23" s="9">
        <f>U24+U25</f>
        <v>12904693.01</v>
      </c>
      <c r="V23" s="49">
        <f t="shared" si="1"/>
        <v>1389693.0099999998</v>
      </c>
      <c r="W23" s="33"/>
      <c r="AB23" s="50" t="e">
        <f t="shared" si="4"/>
        <v>#DIV/0!</v>
      </c>
    </row>
    <row r="24" spans="1:28" s="60" customFormat="1" ht="42.75">
      <c r="A24" s="54"/>
      <c r="B24" s="67" t="s">
        <v>52</v>
      </c>
      <c r="C24" s="68" t="s">
        <v>47</v>
      </c>
      <c r="D24" s="10">
        <v>12280000</v>
      </c>
      <c r="E24" s="10">
        <f>1990842.01</f>
        <v>1990842.01</v>
      </c>
      <c r="F24" s="10"/>
      <c r="G24" s="10"/>
      <c r="H24" s="10">
        <v>2947785.28</v>
      </c>
      <c r="I24" s="10">
        <v>10482000</v>
      </c>
      <c r="J24" s="10" t="e">
        <f t="shared" si="2"/>
        <v>#DIV/0!</v>
      </c>
      <c r="K24" s="10">
        <v>10482000</v>
      </c>
      <c r="L24" s="10">
        <v>10482000</v>
      </c>
      <c r="M24" s="10">
        <v>10482000</v>
      </c>
      <c r="N24" s="10">
        <v>10482000</v>
      </c>
      <c r="O24" s="10">
        <v>4909462.5199999996</v>
      </c>
      <c r="P24" s="10">
        <v>11500000</v>
      </c>
      <c r="Q24" s="10">
        <v>11500000</v>
      </c>
      <c r="R24" s="10">
        <v>13873265.76</v>
      </c>
      <c r="S24" s="10">
        <v>2373265.7599999998</v>
      </c>
      <c r="T24" s="57">
        <v>1.2063709356521739</v>
      </c>
      <c r="U24" s="10">
        <v>12889693.01</v>
      </c>
      <c r="V24" s="58">
        <f t="shared" si="1"/>
        <v>1389693.0099999998</v>
      </c>
      <c r="W24" s="59"/>
      <c r="AB24" s="61" t="e">
        <f t="shared" si="4"/>
        <v>#DIV/0!</v>
      </c>
    </row>
    <row r="25" spans="1:28" s="60" customFormat="1" ht="28.5">
      <c r="A25" s="54"/>
      <c r="B25" s="67" t="s">
        <v>70</v>
      </c>
      <c r="C25" s="68" t="s">
        <v>71</v>
      </c>
      <c r="D25" s="10">
        <v>30000</v>
      </c>
      <c r="E25" s="10"/>
      <c r="F25" s="10"/>
      <c r="G25" s="10"/>
      <c r="H25" s="10"/>
      <c r="I25" s="10">
        <v>30000</v>
      </c>
      <c r="J25" s="10" t="e">
        <f t="shared" si="2"/>
        <v>#DIV/0!</v>
      </c>
      <c r="K25" s="10">
        <v>50000</v>
      </c>
      <c r="L25" s="10">
        <v>30000</v>
      </c>
      <c r="M25" s="10">
        <v>200000</v>
      </c>
      <c r="N25" s="10">
        <v>200000</v>
      </c>
      <c r="O25" s="10"/>
      <c r="P25" s="10">
        <v>15000</v>
      </c>
      <c r="Q25" s="10">
        <v>15000</v>
      </c>
      <c r="R25" s="10">
        <v>200000</v>
      </c>
      <c r="S25" s="10">
        <v>185000</v>
      </c>
      <c r="T25" s="57">
        <v>13.333333333333334</v>
      </c>
      <c r="U25" s="10">
        <v>15000</v>
      </c>
      <c r="V25" s="58">
        <f t="shared" si="1"/>
        <v>0</v>
      </c>
      <c r="W25" s="59"/>
      <c r="AB25" s="61" t="e">
        <f t="shared" si="4"/>
        <v>#DIV/0!</v>
      </c>
    </row>
    <row r="26" spans="1:28" s="60" customFormat="1" ht="28.5" hidden="1">
      <c r="A26" s="54"/>
      <c r="B26" s="55" t="s">
        <v>48</v>
      </c>
      <c r="C26" s="69" t="s">
        <v>72</v>
      </c>
      <c r="D26" s="11"/>
      <c r="E26" s="11"/>
      <c r="F26" s="11"/>
      <c r="G26" s="11">
        <f>F26-E26</f>
        <v>0</v>
      </c>
      <c r="H26" s="11"/>
      <c r="I26" s="11"/>
      <c r="J26" s="7" t="e">
        <f t="shared" si="2"/>
        <v>#DIV/0!</v>
      </c>
      <c r="K26" s="11"/>
      <c r="L26" s="11"/>
      <c r="M26" s="11"/>
      <c r="N26" s="11"/>
      <c r="O26" s="11"/>
      <c r="P26" s="11"/>
      <c r="Q26" s="11"/>
      <c r="R26" s="11"/>
      <c r="S26" s="7">
        <v>0</v>
      </c>
      <c r="T26" s="43" t="e">
        <v>#DIV/0!</v>
      </c>
      <c r="U26" s="11"/>
      <c r="V26" s="49">
        <f t="shared" si="1"/>
        <v>0</v>
      </c>
      <c r="W26" s="59"/>
      <c r="AB26" s="50" t="e">
        <f t="shared" si="4"/>
        <v>#DIV/0!</v>
      </c>
    </row>
    <row r="27" spans="1:28" ht="15" customHeight="1">
      <c r="B27" s="51"/>
      <c r="C27" s="70"/>
      <c r="D27" s="9"/>
      <c r="E27" s="9"/>
      <c r="F27" s="9"/>
      <c r="G27" s="9">
        <f>F27-E27</f>
        <v>0</v>
      </c>
      <c r="H27" s="9"/>
      <c r="I27" s="9"/>
      <c r="J27" s="7"/>
      <c r="K27" s="9"/>
      <c r="L27" s="9"/>
      <c r="M27" s="9"/>
      <c r="N27" s="9"/>
      <c r="O27" s="9"/>
      <c r="P27" s="9"/>
      <c r="Q27" s="9"/>
      <c r="R27" s="9"/>
      <c r="S27" s="7"/>
      <c r="T27" s="43"/>
      <c r="U27" s="9"/>
      <c r="V27" s="49">
        <f t="shared" si="1"/>
        <v>0</v>
      </c>
      <c r="W27" s="33"/>
      <c r="AB27" s="50"/>
    </row>
    <row r="28" spans="1:28" s="46" customFormat="1" ht="15">
      <c r="A28" s="38"/>
      <c r="B28" s="41"/>
      <c r="C28" s="41" t="s">
        <v>53</v>
      </c>
      <c r="D28" s="7">
        <f>D34+D35+D30+D36</f>
        <v>263360580</v>
      </c>
      <c r="E28" s="7">
        <f>E34+E35+E30+E36</f>
        <v>55069787.400000006</v>
      </c>
      <c r="F28" s="7">
        <f>F34+F35+F30+F36</f>
        <v>0</v>
      </c>
      <c r="G28" s="7">
        <f>F28-E28</f>
        <v>-55069787.400000006</v>
      </c>
      <c r="H28" s="7">
        <f>H34+H35+H30+H36</f>
        <v>53612314.550000004</v>
      </c>
      <c r="I28" s="7">
        <f>I34+I35+I30+I36</f>
        <v>260749200</v>
      </c>
      <c r="J28" s="7" t="e">
        <f t="shared" si="2"/>
        <v>#DIV/0!</v>
      </c>
      <c r="K28" s="7">
        <f t="shared" ref="K28:O28" si="6">K34+K35+K30+K36</f>
        <v>278040100</v>
      </c>
      <c r="L28" s="7">
        <f t="shared" si="6"/>
        <v>289295200</v>
      </c>
      <c r="M28" s="7">
        <f t="shared" si="6"/>
        <v>267136400</v>
      </c>
      <c r="N28" s="7">
        <f t="shared" si="6"/>
        <v>267136400</v>
      </c>
      <c r="O28" s="7">
        <f t="shared" si="6"/>
        <v>111838825.58</v>
      </c>
      <c r="P28" s="7">
        <f>P34+P35+P30+P36+P43</f>
        <v>254107298.55000001</v>
      </c>
      <c r="Q28" s="7">
        <v>254107298.55000001</v>
      </c>
      <c r="R28" s="7">
        <v>249561270.54000002</v>
      </c>
      <c r="S28" s="7">
        <v>-4546028.0099999905</v>
      </c>
      <c r="T28" s="43">
        <v>0.9821098093760362</v>
      </c>
      <c r="U28" s="7">
        <f>U34+U35+U30+U36</f>
        <v>245107298.55000001</v>
      </c>
      <c r="V28" s="44">
        <f t="shared" si="1"/>
        <v>-9000000</v>
      </c>
      <c r="W28" s="45"/>
      <c r="AB28" s="47" t="e">
        <f>H28/F28*100</f>
        <v>#DIV/0!</v>
      </c>
    </row>
    <row r="29" spans="1:28" ht="15">
      <c r="B29" s="51"/>
      <c r="C29" s="51"/>
      <c r="D29" s="9"/>
      <c r="E29" s="9"/>
      <c r="F29" s="9"/>
      <c r="G29" s="9">
        <f>F29-E29</f>
        <v>0</v>
      </c>
      <c r="H29" s="9"/>
      <c r="I29" s="9"/>
      <c r="J29" s="7"/>
      <c r="K29" s="9"/>
      <c r="L29" s="9"/>
      <c r="M29" s="9"/>
      <c r="N29" s="9"/>
      <c r="O29" s="9"/>
      <c r="P29" s="9"/>
      <c r="Q29" s="9"/>
      <c r="R29" s="9"/>
      <c r="S29" s="7"/>
      <c r="T29" s="43"/>
      <c r="U29" s="9"/>
      <c r="V29" s="49">
        <f t="shared" si="1"/>
        <v>0</v>
      </c>
      <c r="W29" s="33"/>
      <c r="AB29" s="50"/>
    </row>
    <row r="30" spans="1:28" ht="28.5">
      <c r="B30" s="51" t="s">
        <v>38</v>
      </c>
      <c r="C30" s="71" t="s">
        <v>54</v>
      </c>
      <c r="D30" s="12">
        <f>D31+D32+D33</f>
        <v>153499000</v>
      </c>
      <c r="E30" s="12">
        <f>E31+E32+E33</f>
        <v>30789273.300000004</v>
      </c>
      <c r="F30" s="12">
        <f>F31+F32+F33</f>
        <v>0</v>
      </c>
      <c r="G30" s="12">
        <f>F30-E30</f>
        <v>-30789273.300000004</v>
      </c>
      <c r="H30" s="12">
        <f t="shared" ref="H30:O30" si="7">H31+H32+H33</f>
        <v>30816862.620000001</v>
      </c>
      <c r="I30" s="12">
        <f t="shared" si="7"/>
        <v>160133200</v>
      </c>
      <c r="J30" s="12" t="e">
        <f t="shared" si="7"/>
        <v>#DIV/0!</v>
      </c>
      <c r="K30" s="12">
        <f t="shared" si="7"/>
        <v>173163100</v>
      </c>
      <c r="L30" s="12">
        <f t="shared" si="7"/>
        <v>180072200</v>
      </c>
      <c r="M30" s="12">
        <f t="shared" si="7"/>
        <v>166520400</v>
      </c>
      <c r="N30" s="12">
        <f t="shared" si="7"/>
        <v>166520400</v>
      </c>
      <c r="O30" s="12">
        <f t="shared" si="7"/>
        <v>69148225.229999989</v>
      </c>
      <c r="P30" s="12">
        <f>P31+P32+P33</f>
        <v>166255433.28</v>
      </c>
      <c r="Q30" s="12">
        <v>166255433.28</v>
      </c>
      <c r="R30" s="12">
        <v>161201986.74000001</v>
      </c>
      <c r="S30" s="9">
        <v>-5053446.5399999917</v>
      </c>
      <c r="T30" s="53">
        <v>0.9696043224555001</v>
      </c>
      <c r="U30" s="12">
        <f>U31+U32+U33</f>
        <v>157255433.28</v>
      </c>
      <c r="V30" s="49">
        <f t="shared" si="1"/>
        <v>-9000000</v>
      </c>
      <c r="W30" s="33"/>
      <c r="AA30" s="33"/>
      <c r="AB30" s="50" t="e">
        <f t="shared" ref="AB30:AB36" si="8">H30/F30*100</f>
        <v>#DIV/0!</v>
      </c>
    </row>
    <row r="31" spans="1:28" s="60" customFormat="1" ht="28.5">
      <c r="A31" s="54"/>
      <c r="B31" s="55" t="s">
        <v>14</v>
      </c>
      <c r="C31" s="72" t="s">
        <v>55</v>
      </c>
      <c r="D31" s="10">
        <v>128153000</v>
      </c>
      <c r="E31" s="10">
        <f>26370716.6+117895.12</f>
        <v>26488611.720000003</v>
      </c>
      <c r="F31" s="10"/>
      <c r="G31" s="10"/>
      <c r="H31" s="10">
        <v>23791247.940000001</v>
      </c>
      <c r="I31" s="10">
        <v>128153000</v>
      </c>
      <c r="J31" s="10" t="e">
        <f t="shared" si="2"/>
        <v>#DIV/0!</v>
      </c>
      <c r="K31" s="10">
        <v>138610000</v>
      </c>
      <c r="L31" s="10">
        <v>144155000</v>
      </c>
      <c r="M31" s="10">
        <v>133279000</v>
      </c>
      <c r="N31" s="10">
        <v>133279000</v>
      </c>
      <c r="O31" s="10">
        <v>54646985.140000001</v>
      </c>
      <c r="P31" s="10">
        <v>120440000</v>
      </c>
      <c r="Q31" s="10">
        <v>120440000</v>
      </c>
      <c r="R31" s="10">
        <v>124919571.78</v>
      </c>
      <c r="S31" s="10">
        <v>4479571.7800000012</v>
      </c>
      <c r="T31" s="57">
        <v>1.0371933890733975</v>
      </c>
      <c r="U31" s="10">
        <v>120440000</v>
      </c>
      <c r="V31" s="58">
        <f t="shared" si="1"/>
        <v>0</v>
      </c>
      <c r="W31" s="59"/>
      <c r="AB31" s="61" t="e">
        <f t="shared" si="8"/>
        <v>#DIV/0!</v>
      </c>
    </row>
    <row r="32" spans="1:28" s="60" customFormat="1" ht="46.5" customHeight="1">
      <c r="A32" s="54"/>
      <c r="B32" s="55" t="s">
        <v>20</v>
      </c>
      <c r="C32" s="72" t="s">
        <v>56</v>
      </c>
      <c r="D32" s="13">
        <v>22624000</v>
      </c>
      <c r="E32" s="13">
        <f>4150668.74-178.67</f>
        <v>4150490.0700000003</v>
      </c>
      <c r="F32" s="13"/>
      <c r="G32" s="13"/>
      <c r="H32" s="13">
        <v>7023805.3799999999</v>
      </c>
      <c r="I32" s="13">
        <v>31530200</v>
      </c>
      <c r="J32" s="10" t="e">
        <f t="shared" si="2"/>
        <v>#DIV/0!</v>
      </c>
      <c r="K32" s="13">
        <v>34103100</v>
      </c>
      <c r="L32" s="13">
        <v>35467200</v>
      </c>
      <c r="M32" s="13">
        <v>32791400</v>
      </c>
      <c r="N32" s="13">
        <v>32791400</v>
      </c>
      <c r="O32" s="13">
        <v>14732779.99</v>
      </c>
      <c r="P32" s="13">
        <v>45820000</v>
      </c>
      <c r="Q32" s="13">
        <v>45820000</v>
      </c>
      <c r="R32" s="13">
        <v>36286962.119999997</v>
      </c>
      <c r="S32" s="10">
        <v>-9533037.8800000027</v>
      </c>
      <c r="T32" s="57">
        <v>0.79194592143168918</v>
      </c>
      <c r="U32" s="13">
        <f>35820000+1000000</f>
        <v>36820000</v>
      </c>
      <c r="V32" s="58">
        <f t="shared" si="1"/>
        <v>-9000000</v>
      </c>
      <c r="W32" s="59"/>
      <c r="AB32" s="61" t="e">
        <f t="shared" si="8"/>
        <v>#DIV/0!</v>
      </c>
    </row>
    <row r="33" spans="1:28" s="60" customFormat="1" ht="28.5">
      <c r="A33" s="54"/>
      <c r="B33" s="55" t="s">
        <v>60</v>
      </c>
      <c r="C33" s="72" t="s">
        <v>61</v>
      </c>
      <c r="D33" s="13">
        <v>2722000</v>
      </c>
      <c r="E33" s="13">
        <v>150171.51</v>
      </c>
      <c r="F33" s="13"/>
      <c r="G33" s="13"/>
      <c r="H33" s="13">
        <v>1809.3</v>
      </c>
      <c r="I33" s="13">
        <v>450000</v>
      </c>
      <c r="J33" s="10" t="e">
        <f t="shared" si="2"/>
        <v>#DIV/0!</v>
      </c>
      <c r="K33" s="13">
        <v>450000</v>
      </c>
      <c r="L33" s="13">
        <v>450000</v>
      </c>
      <c r="M33" s="13">
        <v>450000</v>
      </c>
      <c r="N33" s="13">
        <v>450000</v>
      </c>
      <c r="O33" s="13">
        <v>-231539.9</v>
      </c>
      <c r="P33" s="13">
        <v>-4566.72</v>
      </c>
      <c r="Q33" s="13">
        <v>-4566.72</v>
      </c>
      <c r="R33" s="13">
        <v>-4547.16</v>
      </c>
      <c r="S33" s="10">
        <v>19.5600000000004</v>
      </c>
      <c r="T33" s="57">
        <v>0.99571683834349367</v>
      </c>
      <c r="U33" s="13">
        <v>-4566.72</v>
      </c>
      <c r="V33" s="58">
        <f t="shared" si="1"/>
        <v>0</v>
      </c>
      <c r="W33" s="59"/>
      <c r="AB33" s="61" t="e">
        <f t="shared" si="8"/>
        <v>#DIV/0!</v>
      </c>
    </row>
    <row r="34" spans="1:28">
      <c r="B34" s="51" t="s">
        <v>39</v>
      </c>
      <c r="C34" s="52" t="s">
        <v>6</v>
      </c>
      <c r="D34" s="9">
        <v>106152000</v>
      </c>
      <c r="E34" s="9">
        <f>22683063.6+2163</f>
        <v>22685226.600000001</v>
      </c>
      <c r="F34" s="9"/>
      <c r="G34" s="9"/>
      <c r="H34" s="9">
        <v>21201068.420000002</v>
      </c>
      <c r="I34" s="9">
        <v>96830000</v>
      </c>
      <c r="J34" s="9" t="e">
        <f t="shared" si="2"/>
        <v>#DIV/0!</v>
      </c>
      <c r="K34" s="9">
        <v>101091000</v>
      </c>
      <c r="L34" s="9">
        <v>105437000</v>
      </c>
      <c r="M34" s="9">
        <v>96830000</v>
      </c>
      <c r="N34" s="9">
        <v>96830000</v>
      </c>
      <c r="O34" s="9">
        <v>40757311.530000001</v>
      </c>
      <c r="P34" s="9">
        <v>83753000</v>
      </c>
      <c r="Q34" s="9">
        <v>83753000</v>
      </c>
      <c r="R34" s="9">
        <v>83831006.650000006</v>
      </c>
      <c r="S34" s="9">
        <v>78006.65000000596</v>
      </c>
      <c r="T34" s="53">
        <v>1.0009313893233676</v>
      </c>
      <c r="U34" s="9">
        <v>83753000</v>
      </c>
      <c r="V34" s="49">
        <f t="shared" si="1"/>
        <v>0</v>
      </c>
      <c r="W34" s="33"/>
      <c r="AB34" s="50" t="e">
        <f t="shared" si="8"/>
        <v>#DIV/0!</v>
      </c>
    </row>
    <row r="35" spans="1:28">
      <c r="B35" s="51" t="s">
        <v>19</v>
      </c>
      <c r="C35" s="52" t="s">
        <v>18</v>
      </c>
      <c r="D35" s="9">
        <v>21000</v>
      </c>
      <c r="E35" s="9">
        <v>94758.5</v>
      </c>
      <c r="F35" s="9"/>
      <c r="G35" s="9"/>
      <c r="H35" s="9">
        <v>373614</v>
      </c>
      <c r="I35" s="9">
        <v>98000</v>
      </c>
      <c r="J35" s="9" t="e">
        <f t="shared" si="2"/>
        <v>#DIV/0!</v>
      </c>
      <c r="K35" s="9">
        <v>98000</v>
      </c>
      <c r="L35" s="9">
        <v>98000</v>
      </c>
      <c r="M35" s="9">
        <v>98000</v>
      </c>
      <c r="N35" s="9">
        <v>98000</v>
      </c>
      <c r="O35" s="9">
        <v>383362.7</v>
      </c>
      <c r="P35" s="9">
        <v>255969.27</v>
      </c>
      <c r="Q35" s="9">
        <v>255969.27</v>
      </c>
      <c r="R35" s="9">
        <v>256851.77</v>
      </c>
      <c r="S35" s="9">
        <v>882.5</v>
      </c>
      <c r="T35" s="53">
        <v>1.0034476794812128</v>
      </c>
      <c r="U35" s="9">
        <v>255969.27</v>
      </c>
      <c r="V35" s="49">
        <f t="shared" si="1"/>
        <v>0</v>
      </c>
      <c r="W35" s="33"/>
      <c r="AB35" s="50" t="e">
        <f t="shared" si="8"/>
        <v>#DIV/0!</v>
      </c>
    </row>
    <row r="36" spans="1:28" ht="29.25" customHeight="1">
      <c r="B36" s="51" t="s">
        <v>77</v>
      </c>
      <c r="C36" s="73" t="s">
        <v>78</v>
      </c>
      <c r="D36" s="9">
        <v>3688580</v>
      </c>
      <c r="E36" s="9">
        <f>1500529</f>
        <v>1500529</v>
      </c>
      <c r="F36" s="9"/>
      <c r="G36" s="9"/>
      <c r="H36" s="9">
        <v>1220769.51</v>
      </c>
      <c r="I36" s="9">
        <v>3688000</v>
      </c>
      <c r="J36" s="9" t="e">
        <f t="shared" si="2"/>
        <v>#DIV/0!</v>
      </c>
      <c r="K36" s="9">
        <v>3688000</v>
      </c>
      <c r="L36" s="9">
        <v>3688000</v>
      </c>
      <c r="M36" s="9">
        <v>3688000</v>
      </c>
      <c r="N36" s="9">
        <v>3688000</v>
      </c>
      <c r="O36" s="9">
        <v>1549926.12</v>
      </c>
      <c r="P36" s="9">
        <v>3842896</v>
      </c>
      <c r="Q36" s="9">
        <v>3842896</v>
      </c>
      <c r="R36" s="9">
        <v>4271425.38</v>
      </c>
      <c r="S36" s="9">
        <v>428529.37999999989</v>
      </c>
      <c r="T36" s="53">
        <v>1.1115120940041052</v>
      </c>
      <c r="U36" s="9">
        <v>3842896</v>
      </c>
      <c r="V36" s="49">
        <f t="shared" si="1"/>
        <v>0</v>
      </c>
      <c r="W36" s="33"/>
      <c r="AB36" s="50" t="e">
        <f t="shared" si="8"/>
        <v>#DIV/0!</v>
      </c>
    </row>
    <row r="37" spans="1:28" ht="15">
      <c r="B37" s="51"/>
      <c r="C37" s="66"/>
      <c r="D37" s="9"/>
      <c r="E37" s="9"/>
      <c r="F37" s="9"/>
      <c r="G37" s="9">
        <f>F37-E37</f>
        <v>0</v>
      </c>
      <c r="H37" s="9"/>
      <c r="I37" s="9"/>
      <c r="J37" s="7"/>
      <c r="K37" s="9"/>
      <c r="L37" s="9"/>
      <c r="M37" s="9"/>
      <c r="N37" s="9"/>
      <c r="O37" s="9"/>
      <c r="P37" s="9"/>
      <c r="Q37" s="9"/>
      <c r="R37" s="9"/>
      <c r="S37" s="7"/>
      <c r="T37" s="43"/>
      <c r="U37" s="9"/>
      <c r="V37" s="49"/>
      <c r="W37" s="33"/>
      <c r="AB37" s="50"/>
    </row>
    <row r="38" spans="1:28" s="38" customFormat="1" ht="15">
      <c r="B38" s="41"/>
      <c r="C38" s="41" t="s">
        <v>116</v>
      </c>
      <c r="D38" s="8">
        <f>D40</f>
        <v>0</v>
      </c>
      <c r="E38" s="8"/>
      <c r="F38" s="8"/>
      <c r="G38" s="8"/>
      <c r="H38" s="8"/>
      <c r="I38" s="8">
        <f>I40</f>
        <v>0</v>
      </c>
      <c r="J38" s="7" t="e">
        <f t="shared" si="2"/>
        <v>#DIV/0!</v>
      </c>
      <c r="K38" s="8">
        <f>K40</f>
        <v>0</v>
      </c>
      <c r="L38" s="8">
        <f>L40</f>
        <v>0</v>
      </c>
      <c r="M38" s="8"/>
      <c r="N38" s="8"/>
      <c r="O38" s="8"/>
      <c r="P38" s="8"/>
      <c r="Q38" s="8"/>
      <c r="R38" s="8">
        <v>2.35</v>
      </c>
      <c r="S38" s="7">
        <v>2.35</v>
      </c>
      <c r="T38" s="43"/>
      <c r="U38" s="8">
        <f t="shared" ref="U38:V38" si="9">U43</f>
        <v>2.35</v>
      </c>
      <c r="V38" s="8">
        <f t="shared" si="9"/>
        <v>2.35</v>
      </c>
      <c r="W38" s="74"/>
      <c r="AB38" s="47"/>
    </row>
    <row r="39" spans="1:28" ht="15" hidden="1">
      <c r="B39" s="51"/>
      <c r="C39" s="75"/>
      <c r="D39" s="9"/>
      <c r="E39" s="9"/>
      <c r="F39" s="9"/>
      <c r="G39" s="9">
        <f>F39-E39</f>
        <v>0</v>
      </c>
      <c r="H39" s="9"/>
      <c r="I39" s="9"/>
      <c r="J39" s="7" t="e">
        <f t="shared" si="2"/>
        <v>#DIV/0!</v>
      </c>
      <c r="K39" s="9"/>
      <c r="L39" s="9"/>
      <c r="M39" s="9"/>
      <c r="N39" s="9"/>
      <c r="O39" s="9"/>
      <c r="P39" s="9"/>
      <c r="Q39" s="9"/>
      <c r="R39" s="9"/>
      <c r="S39" s="7">
        <v>0</v>
      </c>
      <c r="T39" s="43"/>
      <c r="U39" s="9"/>
      <c r="V39" s="49">
        <f t="shared" ref="V39:V52" si="10">U39-P39</f>
        <v>0</v>
      </c>
      <c r="W39" s="33"/>
      <c r="AB39" s="50"/>
    </row>
    <row r="40" spans="1:28" ht="15" hidden="1">
      <c r="B40" s="51" t="s">
        <v>42</v>
      </c>
      <c r="C40" s="75" t="s">
        <v>11</v>
      </c>
      <c r="D40" s="9"/>
      <c r="E40" s="9"/>
      <c r="F40" s="9"/>
      <c r="G40" s="9">
        <f>F40-E40</f>
        <v>0</v>
      </c>
      <c r="H40" s="9">
        <f>-4288</f>
        <v>-4288</v>
      </c>
      <c r="I40" s="9"/>
      <c r="J40" s="7" t="e">
        <f t="shared" si="2"/>
        <v>#DIV/0!</v>
      </c>
      <c r="K40" s="9"/>
      <c r="L40" s="9"/>
      <c r="M40" s="9"/>
      <c r="N40" s="9"/>
      <c r="O40" s="9"/>
      <c r="P40" s="9"/>
      <c r="Q40" s="9"/>
      <c r="R40" s="9"/>
      <c r="S40" s="7">
        <v>0</v>
      </c>
      <c r="T40" s="43"/>
      <c r="U40" s="9"/>
      <c r="V40" s="49">
        <f t="shared" si="10"/>
        <v>0</v>
      </c>
      <c r="W40" s="33"/>
      <c r="AB40" s="50"/>
    </row>
    <row r="41" spans="1:28" ht="15" hidden="1">
      <c r="B41" s="51" t="s">
        <v>67</v>
      </c>
      <c r="C41" s="75" t="s">
        <v>66</v>
      </c>
      <c r="D41" s="9"/>
      <c r="E41" s="9"/>
      <c r="F41" s="9"/>
      <c r="G41" s="9">
        <f>F41-E41</f>
        <v>0</v>
      </c>
      <c r="H41" s="9"/>
      <c r="I41" s="9"/>
      <c r="J41" s="7" t="e">
        <f t="shared" si="2"/>
        <v>#DIV/0!</v>
      </c>
      <c r="K41" s="9"/>
      <c r="L41" s="9"/>
      <c r="M41" s="9"/>
      <c r="N41" s="9"/>
      <c r="O41" s="9"/>
      <c r="P41" s="9"/>
      <c r="Q41" s="9"/>
      <c r="R41" s="9"/>
      <c r="S41" s="7">
        <v>0</v>
      </c>
      <c r="T41" s="43"/>
      <c r="U41" s="9"/>
      <c r="V41" s="49">
        <f t="shared" si="10"/>
        <v>0</v>
      </c>
      <c r="W41" s="33"/>
      <c r="AB41" s="50"/>
    </row>
    <row r="42" spans="1:28" ht="15" hidden="1">
      <c r="B42" s="51" t="s">
        <v>43</v>
      </c>
      <c r="C42" s="75" t="s">
        <v>15</v>
      </c>
      <c r="D42" s="9"/>
      <c r="E42" s="9"/>
      <c r="F42" s="9"/>
      <c r="G42" s="9">
        <f>F42-E42</f>
        <v>0</v>
      </c>
      <c r="H42" s="9"/>
      <c r="I42" s="9"/>
      <c r="J42" s="7" t="e">
        <f t="shared" si="2"/>
        <v>#DIV/0!</v>
      </c>
      <c r="K42" s="9"/>
      <c r="L42" s="9"/>
      <c r="M42" s="9"/>
      <c r="N42" s="9"/>
      <c r="O42" s="9"/>
      <c r="P42" s="9"/>
      <c r="Q42" s="9"/>
      <c r="R42" s="9"/>
      <c r="S42" s="7">
        <v>0</v>
      </c>
      <c r="T42" s="43"/>
      <c r="U42" s="9"/>
      <c r="V42" s="49">
        <f t="shared" si="10"/>
        <v>0</v>
      </c>
      <c r="W42" s="33"/>
      <c r="AB42" s="50"/>
    </row>
    <row r="43" spans="1:28" ht="42.75">
      <c r="B43" s="51" t="s">
        <v>247</v>
      </c>
      <c r="C43" s="71" t="s">
        <v>248</v>
      </c>
      <c r="D43" s="9"/>
      <c r="E43" s="9"/>
      <c r="F43" s="9"/>
      <c r="G43" s="9">
        <f>F43-E43</f>
        <v>0</v>
      </c>
      <c r="H43" s="9"/>
      <c r="I43" s="9"/>
      <c r="J43" s="9" t="e">
        <f t="shared" si="2"/>
        <v>#DIV/0!</v>
      </c>
      <c r="K43" s="9"/>
      <c r="L43" s="9"/>
      <c r="M43" s="9"/>
      <c r="N43" s="9"/>
      <c r="O43" s="9"/>
      <c r="P43" s="9"/>
      <c r="Q43" s="9"/>
      <c r="R43" s="9">
        <v>2.35</v>
      </c>
      <c r="S43" s="9">
        <v>2.35</v>
      </c>
      <c r="T43" s="53"/>
      <c r="U43" s="9">
        <v>2.35</v>
      </c>
      <c r="V43" s="49">
        <f t="shared" si="10"/>
        <v>2.35</v>
      </c>
      <c r="W43" s="33"/>
      <c r="AB43" s="50"/>
    </row>
    <row r="44" spans="1:28" s="46" customFormat="1" ht="15">
      <c r="A44" s="38"/>
      <c r="B44" s="41"/>
      <c r="C44" s="40" t="s">
        <v>117</v>
      </c>
      <c r="D44" s="8"/>
      <c r="E44" s="8">
        <f>141.09</f>
        <v>141.09</v>
      </c>
      <c r="F44" s="8"/>
      <c r="G44" s="8"/>
      <c r="H44" s="8">
        <f>60.41+6001.02</f>
        <v>6061.43</v>
      </c>
      <c r="I44" s="8"/>
      <c r="J44" s="7" t="e">
        <f t="shared" si="2"/>
        <v>#DIV/0!</v>
      </c>
      <c r="K44" s="8"/>
      <c r="L44" s="8"/>
      <c r="M44" s="8"/>
      <c r="N44" s="8"/>
      <c r="O44" s="8">
        <v>6225.43</v>
      </c>
      <c r="P44" s="8"/>
      <c r="Q44" s="8"/>
      <c r="R44" s="8">
        <v>321.95</v>
      </c>
      <c r="S44" s="7">
        <v>321.95</v>
      </c>
      <c r="T44" s="43"/>
      <c r="U44" s="8">
        <v>321.95</v>
      </c>
      <c r="V44" s="44">
        <f t="shared" si="10"/>
        <v>321.95</v>
      </c>
      <c r="W44" s="45"/>
      <c r="AB44" s="47"/>
    </row>
    <row r="45" spans="1:28" ht="17.25" hidden="1" customHeight="1">
      <c r="B45" s="51" t="s">
        <v>41</v>
      </c>
      <c r="C45" s="52" t="s">
        <v>16</v>
      </c>
      <c r="D45" s="9"/>
      <c r="E45" s="9"/>
      <c r="F45" s="9"/>
      <c r="G45" s="9">
        <f t="shared" ref="G45:G54" si="11">F45-E45</f>
        <v>0</v>
      </c>
      <c r="H45" s="9"/>
      <c r="I45" s="9"/>
      <c r="J45" s="7" t="e">
        <f t="shared" si="2"/>
        <v>#DIV/0!</v>
      </c>
      <c r="K45" s="9"/>
      <c r="L45" s="9"/>
      <c r="M45" s="9"/>
      <c r="N45" s="9"/>
      <c r="O45" s="9"/>
      <c r="P45" s="9"/>
      <c r="Q45" s="9"/>
      <c r="R45" s="9"/>
      <c r="S45" s="7">
        <v>0</v>
      </c>
      <c r="T45" s="43" t="e">
        <v>#DIV/0!</v>
      </c>
      <c r="U45" s="9"/>
      <c r="V45" s="49">
        <f t="shared" si="10"/>
        <v>0</v>
      </c>
      <c r="W45" s="33"/>
      <c r="AB45" s="50"/>
    </row>
    <row r="46" spans="1:28" ht="15" hidden="1">
      <c r="B46" s="51" t="s">
        <v>259</v>
      </c>
      <c r="C46" s="66" t="s">
        <v>9</v>
      </c>
      <c r="D46" s="9"/>
      <c r="E46" s="9"/>
      <c r="F46" s="9"/>
      <c r="G46" s="9">
        <f t="shared" si="11"/>
        <v>0</v>
      </c>
      <c r="H46" s="9">
        <v>141.09</v>
      </c>
      <c r="I46" s="9"/>
      <c r="J46" s="7" t="e">
        <f t="shared" si="2"/>
        <v>#DIV/0!</v>
      </c>
      <c r="K46" s="9"/>
      <c r="L46" s="9"/>
      <c r="M46" s="9"/>
      <c r="N46" s="9"/>
      <c r="O46" s="9"/>
      <c r="P46" s="9"/>
      <c r="Q46" s="9"/>
      <c r="R46" s="9"/>
      <c r="S46" s="7">
        <v>0</v>
      </c>
      <c r="T46" s="43" t="e">
        <v>#DIV/0!</v>
      </c>
      <c r="U46" s="9"/>
      <c r="V46" s="49">
        <f t="shared" si="10"/>
        <v>0</v>
      </c>
      <c r="W46" s="33"/>
      <c r="AB46" s="50"/>
    </row>
    <row r="47" spans="1:28" ht="28.5" hidden="1">
      <c r="B47" s="51" t="s">
        <v>44</v>
      </c>
      <c r="C47" s="66" t="s">
        <v>21</v>
      </c>
      <c r="D47" s="14"/>
      <c r="E47" s="14"/>
      <c r="F47" s="14"/>
      <c r="G47" s="14">
        <f t="shared" si="11"/>
        <v>0</v>
      </c>
      <c r="H47" s="14"/>
      <c r="I47" s="14"/>
      <c r="J47" s="7" t="e">
        <f t="shared" si="2"/>
        <v>#DIV/0!</v>
      </c>
      <c r="K47" s="14"/>
      <c r="L47" s="14"/>
      <c r="M47" s="14"/>
      <c r="N47" s="14"/>
      <c r="O47" s="14"/>
      <c r="P47" s="14"/>
      <c r="Q47" s="14"/>
      <c r="R47" s="14"/>
      <c r="S47" s="7">
        <v>0</v>
      </c>
      <c r="T47" s="43" t="e">
        <v>#DIV/0!</v>
      </c>
      <c r="U47" s="14"/>
      <c r="V47" s="49">
        <f t="shared" si="10"/>
        <v>0</v>
      </c>
      <c r="W47" s="33"/>
      <c r="AB47" s="50"/>
    </row>
    <row r="48" spans="1:28" ht="28.5" hidden="1">
      <c r="B48" s="51" t="s">
        <v>124</v>
      </c>
      <c r="C48" s="66" t="s">
        <v>125</v>
      </c>
      <c r="D48" s="14"/>
      <c r="E48" s="14"/>
      <c r="F48" s="14"/>
      <c r="G48" s="14">
        <f t="shared" si="11"/>
        <v>0</v>
      </c>
      <c r="H48" s="14"/>
      <c r="I48" s="14"/>
      <c r="J48" s="7" t="e">
        <f t="shared" si="2"/>
        <v>#DIV/0!</v>
      </c>
      <c r="K48" s="14"/>
      <c r="L48" s="14"/>
      <c r="M48" s="14"/>
      <c r="N48" s="14"/>
      <c r="O48" s="14"/>
      <c r="P48" s="14"/>
      <c r="Q48" s="14"/>
      <c r="R48" s="14"/>
      <c r="S48" s="7">
        <v>0</v>
      </c>
      <c r="T48" s="43" t="e">
        <v>#DIV/0!</v>
      </c>
      <c r="U48" s="14"/>
      <c r="V48" s="49">
        <f t="shared" si="10"/>
        <v>0</v>
      </c>
      <c r="W48" s="33"/>
      <c r="AB48" s="50"/>
    </row>
    <row r="49" spans="1:28" ht="57" hidden="1">
      <c r="B49" s="51" t="s">
        <v>40</v>
      </c>
      <c r="C49" s="66" t="s">
        <v>57</v>
      </c>
      <c r="D49" s="14">
        <v>7.7</v>
      </c>
      <c r="E49" s="14">
        <v>7.7</v>
      </c>
      <c r="F49" s="14">
        <v>7.7</v>
      </c>
      <c r="G49" s="14">
        <f t="shared" si="11"/>
        <v>0</v>
      </c>
      <c r="H49" s="14"/>
      <c r="I49" s="14">
        <v>7.7</v>
      </c>
      <c r="J49" s="7">
        <f t="shared" si="2"/>
        <v>100</v>
      </c>
      <c r="K49" s="14">
        <v>7.7</v>
      </c>
      <c r="L49" s="14">
        <v>7.7</v>
      </c>
      <c r="M49" s="14"/>
      <c r="N49" s="14"/>
      <c r="O49" s="14"/>
      <c r="P49" s="14"/>
      <c r="Q49" s="14"/>
      <c r="R49" s="14"/>
      <c r="S49" s="7">
        <v>0</v>
      </c>
      <c r="T49" s="43" t="e">
        <v>#DIV/0!</v>
      </c>
      <c r="U49" s="14"/>
      <c r="V49" s="49">
        <f t="shared" si="10"/>
        <v>0</v>
      </c>
      <c r="W49" s="33"/>
      <c r="AB49" s="50"/>
    </row>
    <row r="50" spans="1:28" ht="28.5" hidden="1">
      <c r="B50" s="51" t="s">
        <v>84</v>
      </c>
      <c r="C50" s="66" t="s">
        <v>83</v>
      </c>
      <c r="D50" s="14">
        <v>-1978.55</v>
      </c>
      <c r="E50" s="14">
        <v>-1978.55</v>
      </c>
      <c r="F50" s="14">
        <v>-1978.55</v>
      </c>
      <c r="G50" s="14">
        <f t="shared" si="11"/>
        <v>0</v>
      </c>
      <c r="H50" s="14"/>
      <c r="I50" s="14">
        <v>-1978.55</v>
      </c>
      <c r="J50" s="7">
        <f t="shared" si="2"/>
        <v>100</v>
      </c>
      <c r="K50" s="14">
        <v>-1978.55</v>
      </c>
      <c r="L50" s="14">
        <v>-1978.55</v>
      </c>
      <c r="M50" s="14"/>
      <c r="N50" s="14"/>
      <c r="O50" s="14"/>
      <c r="P50" s="14"/>
      <c r="Q50" s="14"/>
      <c r="R50" s="14"/>
      <c r="S50" s="7">
        <v>0</v>
      </c>
      <c r="T50" s="43" t="e">
        <v>#DIV/0!</v>
      </c>
      <c r="U50" s="14"/>
      <c r="V50" s="49">
        <f t="shared" si="10"/>
        <v>0</v>
      </c>
      <c r="W50" s="33"/>
      <c r="AB50" s="50"/>
    </row>
    <row r="51" spans="1:28" ht="28.5" hidden="1">
      <c r="B51" s="51" t="s">
        <v>74</v>
      </c>
      <c r="C51" s="66" t="s">
        <v>73</v>
      </c>
      <c r="D51" s="9"/>
      <c r="E51" s="9"/>
      <c r="F51" s="9"/>
      <c r="G51" s="9">
        <f t="shared" si="11"/>
        <v>0</v>
      </c>
      <c r="H51" s="9"/>
      <c r="I51" s="9"/>
      <c r="J51" s="7" t="e">
        <f t="shared" si="2"/>
        <v>#DIV/0!</v>
      </c>
      <c r="K51" s="9"/>
      <c r="L51" s="9"/>
      <c r="M51" s="9"/>
      <c r="N51" s="9"/>
      <c r="O51" s="9"/>
      <c r="P51" s="9"/>
      <c r="Q51" s="9"/>
      <c r="R51" s="9"/>
      <c r="S51" s="7">
        <v>0</v>
      </c>
      <c r="T51" s="43" t="e">
        <v>#DIV/0!</v>
      </c>
      <c r="U51" s="9"/>
      <c r="V51" s="49">
        <f t="shared" si="10"/>
        <v>0</v>
      </c>
      <c r="W51" s="33"/>
      <c r="AB51" s="50"/>
    </row>
    <row r="52" spans="1:28" ht="42.75" hidden="1">
      <c r="B52" s="51" t="s">
        <v>81</v>
      </c>
      <c r="C52" s="66" t="s">
        <v>80</v>
      </c>
      <c r="D52" s="9"/>
      <c r="E52" s="9"/>
      <c r="F52" s="9"/>
      <c r="G52" s="9">
        <f t="shared" si="11"/>
        <v>0</v>
      </c>
      <c r="H52" s="9"/>
      <c r="I52" s="9"/>
      <c r="J52" s="7" t="e">
        <f t="shared" si="2"/>
        <v>#DIV/0!</v>
      </c>
      <c r="K52" s="9"/>
      <c r="L52" s="9"/>
      <c r="M52" s="9"/>
      <c r="N52" s="9"/>
      <c r="O52" s="9"/>
      <c r="P52" s="9"/>
      <c r="Q52" s="9"/>
      <c r="R52" s="9"/>
      <c r="S52" s="7">
        <v>0</v>
      </c>
      <c r="T52" s="43" t="e">
        <v>#DIV/0!</v>
      </c>
      <c r="U52" s="9"/>
      <c r="V52" s="49">
        <f t="shared" si="10"/>
        <v>0</v>
      </c>
      <c r="W52" s="33"/>
      <c r="AB52" s="50"/>
    </row>
    <row r="53" spans="1:28" ht="15.75" customHeight="1">
      <c r="B53" s="51"/>
      <c r="C53" s="52"/>
      <c r="D53" s="9"/>
      <c r="E53" s="9"/>
      <c r="F53" s="9"/>
      <c r="G53" s="9"/>
      <c r="H53" s="9"/>
      <c r="I53" s="9"/>
      <c r="J53" s="7"/>
      <c r="K53" s="9"/>
      <c r="L53" s="9"/>
      <c r="M53" s="9"/>
      <c r="N53" s="9"/>
      <c r="O53" s="9"/>
      <c r="P53" s="9"/>
      <c r="Q53" s="9"/>
      <c r="R53" s="9"/>
      <c r="S53" s="7"/>
      <c r="T53" s="43"/>
      <c r="U53" s="9"/>
      <c r="V53" s="49"/>
      <c r="W53" s="33"/>
      <c r="AB53" s="50"/>
    </row>
    <row r="54" spans="1:28" s="46" customFormat="1" ht="28.5" customHeight="1">
      <c r="A54" s="38"/>
      <c r="B54" s="41"/>
      <c r="C54" s="41" t="s">
        <v>4</v>
      </c>
      <c r="D54" s="8">
        <f>SUM(D59:D79)+D55+D58</f>
        <v>777310098.61000001</v>
      </c>
      <c r="E54" s="8">
        <f>SUM(E59:E79)+E55+E58</f>
        <v>32289010.030000001</v>
      </c>
      <c r="F54" s="8">
        <f>SUM(F59:F79)+F55+F58</f>
        <v>0</v>
      </c>
      <c r="G54" s="8">
        <f t="shared" si="11"/>
        <v>-32289010.030000001</v>
      </c>
      <c r="H54" s="8">
        <f>SUM(H59:H79)+H55+H58</f>
        <v>55891505.140000001</v>
      </c>
      <c r="I54" s="8">
        <f>SUM(I59:I79)+I55+I58</f>
        <v>243728179.19</v>
      </c>
      <c r="J54" s="7" t="e">
        <f t="shared" si="2"/>
        <v>#DIV/0!</v>
      </c>
      <c r="K54" s="8">
        <f t="shared" ref="K54:P54" si="12">SUM(K59:K79)+K55+K58</f>
        <v>189167568.80000001</v>
      </c>
      <c r="L54" s="8">
        <f t="shared" si="12"/>
        <v>193731422.05000001</v>
      </c>
      <c r="M54" s="8">
        <f t="shared" si="12"/>
        <v>537299154.64999998</v>
      </c>
      <c r="N54" s="8">
        <f t="shared" si="12"/>
        <v>537438868.30999994</v>
      </c>
      <c r="O54" s="8">
        <f t="shared" si="12"/>
        <v>81400138.709999993</v>
      </c>
      <c r="P54" s="8">
        <f t="shared" si="12"/>
        <v>878766735.20000005</v>
      </c>
      <c r="Q54" s="8">
        <v>878766735.20000005</v>
      </c>
      <c r="R54" s="8">
        <v>895660556.5</v>
      </c>
      <c r="S54" s="7">
        <v>16893821.299999952</v>
      </c>
      <c r="T54" s="43">
        <v>1.0192244660878693</v>
      </c>
      <c r="U54" s="8">
        <f t="shared" ref="U54" si="13">SUM(U59:U79)+U55+U58</f>
        <v>890352307.27999997</v>
      </c>
      <c r="V54" s="44">
        <f t="shared" ref="V54:V88" si="14">U54-P54</f>
        <v>11585572.079999924</v>
      </c>
      <c r="W54" s="45"/>
      <c r="AB54" s="47" t="e">
        <f>H54/F54*100</f>
        <v>#DIV/0!</v>
      </c>
    </row>
    <row r="55" spans="1:28" ht="42.75">
      <c r="B55" s="51" t="s">
        <v>97</v>
      </c>
      <c r="C55" s="66" t="s">
        <v>273</v>
      </c>
      <c r="D55" s="9">
        <v>563030000</v>
      </c>
      <c r="E55" s="9"/>
      <c r="F55" s="9"/>
      <c r="G55" s="9"/>
      <c r="H55" s="9"/>
      <c r="I55" s="9">
        <f>SUM(I56:I57)</f>
        <v>25480</v>
      </c>
      <c r="J55" s="9" t="e">
        <f t="shared" si="2"/>
        <v>#DIV/0!</v>
      </c>
      <c r="K55" s="9">
        <f>SUM(K56:K57)</f>
        <v>130000</v>
      </c>
      <c r="L55" s="9">
        <f>SUM(L56:L57)</f>
        <v>141000</v>
      </c>
      <c r="M55" s="9">
        <v>326407500</v>
      </c>
      <c r="N55" s="9">
        <v>326407500</v>
      </c>
      <c r="O55" s="9">
        <v>0</v>
      </c>
      <c r="P55" s="9">
        <v>585673638</v>
      </c>
      <c r="Q55" s="9">
        <v>585673638</v>
      </c>
      <c r="R55" s="9">
        <v>585673638</v>
      </c>
      <c r="S55" s="9">
        <v>0</v>
      </c>
      <c r="T55" s="53">
        <v>1</v>
      </c>
      <c r="U55" s="9">
        <v>585673638</v>
      </c>
      <c r="V55" s="49">
        <f t="shared" si="14"/>
        <v>0</v>
      </c>
      <c r="W55" s="33"/>
      <c r="AB55" s="50" t="e">
        <f>H55/F55*100</f>
        <v>#DIV/0!</v>
      </c>
    </row>
    <row r="56" spans="1:28" s="60" customFormat="1" hidden="1">
      <c r="A56" s="54"/>
      <c r="B56" s="55"/>
      <c r="C56" s="72"/>
      <c r="D56" s="10"/>
      <c r="E56" s="76"/>
      <c r="F56" s="10"/>
      <c r="G56" s="10"/>
      <c r="H56" s="18"/>
      <c r="I56" s="10"/>
      <c r="J56" s="9"/>
      <c r="K56" s="10"/>
      <c r="L56" s="10"/>
      <c r="M56" s="10"/>
      <c r="N56" s="58"/>
      <c r="O56" s="10"/>
      <c r="P56" s="58"/>
      <c r="Q56" s="58"/>
      <c r="R56" s="10"/>
      <c r="S56" s="9">
        <v>0</v>
      </c>
      <c r="T56" s="53" t="e">
        <v>#DIV/0!</v>
      </c>
      <c r="U56" s="58"/>
      <c r="V56" s="49">
        <f t="shared" si="14"/>
        <v>0</v>
      </c>
      <c r="W56" s="59"/>
      <c r="AB56" s="50"/>
    </row>
    <row r="57" spans="1:28" s="60" customFormat="1" hidden="1">
      <c r="A57" s="54"/>
      <c r="B57" s="55"/>
      <c r="C57" s="72" t="s">
        <v>167</v>
      </c>
      <c r="D57" s="10"/>
      <c r="E57" s="76"/>
      <c r="F57" s="10"/>
      <c r="G57" s="10"/>
      <c r="H57" s="18"/>
      <c r="I57" s="10">
        <v>25480</v>
      </c>
      <c r="J57" s="9" t="e">
        <f t="shared" si="2"/>
        <v>#DIV/0!</v>
      </c>
      <c r="K57" s="10">
        <v>130000</v>
      </c>
      <c r="L57" s="10">
        <v>141000</v>
      </c>
      <c r="M57" s="10"/>
      <c r="N57" s="10">
        <v>7500</v>
      </c>
      <c r="O57" s="10"/>
      <c r="P57" s="10"/>
      <c r="Q57" s="10"/>
      <c r="R57" s="10"/>
      <c r="S57" s="9">
        <v>0</v>
      </c>
      <c r="T57" s="53" t="e">
        <v>#DIV/0!</v>
      </c>
      <c r="U57" s="10"/>
      <c r="V57" s="49">
        <f t="shared" si="14"/>
        <v>0</v>
      </c>
      <c r="W57" s="59"/>
      <c r="AB57" s="50" t="e">
        <f>H57/F57*100</f>
        <v>#DIV/0!</v>
      </c>
    </row>
    <row r="58" spans="1:28" ht="28.5">
      <c r="B58" s="51" t="s">
        <v>122</v>
      </c>
      <c r="C58" s="66" t="s">
        <v>0</v>
      </c>
      <c r="D58" s="9">
        <v>377447.26</v>
      </c>
      <c r="E58" s="9">
        <v>101018.82</v>
      </c>
      <c r="F58" s="9"/>
      <c r="G58" s="9"/>
      <c r="H58" s="9">
        <v>80411.61</v>
      </c>
      <c r="I58" s="9">
        <v>395591.61</v>
      </c>
      <c r="J58" s="9" t="e">
        <f t="shared" si="2"/>
        <v>#DIV/0!</v>
      </c>
      <c r="K58" s="9">
        <v>78348.800000000003</v>
      </c>
      <c r="L58" s="9">
        <v>5312.05</v>
      </c>
      <c r="M58" s="9">
        <v>297445.59000000003</v>
      </c>
      <c r="N58" s="9">
        <v>437159.25</v>
      </c>
      <c r="O58" s="9">
        <v>141434.96</v>
      </c>
      <c r="P58" s="9">
        <f>53864.47-11909.58-4260.6</f>
        <v>37694.29</v>
      </c>
      <c r="Q58" s="9">
        <v>37694.29</v>
      </c>
      <c r="R58" s="9">
        <v>37694.29</v>
      </c>
      <c r="S58" s="9">
        <v>0</v>
      </c>
      <c r="T58" s="53">
        <v>1</v>
      </c>
      <c r="U58" s="9">
        <f>53864.47-11909.58-4260.6</f>
        <v>37694.29</v>
      </c>
      <c r="V58" s="49">
        <f t="shared" si="14"/>
        <v>0</v>
      </c>
      <c r="W58" s="33"/>
      <c r="AB58" s="50" t="e">
        <f>H58/F58*100</f>
        <v>#DIV/0!</v>
      </c>
    </row>
    <row r="59" spans="1:28" ht="84" customHeight="1">
      <c r="B59" s="51" t="s">
        <v>98</v>
      </c>
      <c r="C59" s="77" t="s">
        <v>185</v>
      </c>
      <c r="D59" s="9"/>
      <c r="E59" s="9"/>
      <c r="F59" s="9"/>
      <c r="G59" s="9"/>
      <c r="H59" s="9"/>
      <c r="I59" s="9"/>
      <c r="J59" s="9"/>
      <c r="K59" s="9"/>
      <c r="L59" s="9"/>
      <c r="M59" s="9">
        <v>1919939.16</v>
      </c>
      <c r="N59" s="9">
        <v>1919939.16</v>
      </c>
      <c r="O59" s="9">
        <v>616346.5</v>
      </c>
      <c r="P59" s="9">
        <v>1343573</v>
      </c>
      <c r="Q59" s="9">
        <v>1343573</v>
      </c>
      <c r="R59" s="9">
        <v>1390936.99</v>
      </c>
      <c r="S59" s="9">
        <v>47363.989999999991</v>
      </c>
      <c r="T59" s="53">
        <v>1.0352522639261135</v>
      </c>
      <c r="U59" s="9">
        <v>1343573</v>
      </c>
      <c r="V59" s="49">
        <f t="shared" si="14"/>
        <v>0</v>
      </c>
      <c r="W59" s="33"/>
      <c r="AB59" s="50"/>
    </row>
    <row r="60" spans="1:28" ht="71.25">
      <c r="B60" s="51" t="s">
        <v>289</v>
      </c>
      <c r="C60" s="66" t="s">
        <v>49</v>
      </c>
      <c r="D60" s="9">
        <v>105951128.56</v>
      </c>
      <c r="E60" s="9">
        <f>14886162.01</f>
        <v>14886162.01</v>
      </c>
      <c r="F60" s="9"/>
      <c r="G60" s="9"/>
      <c r="H60" s="9">
        <v>23374515.57</v>
      </c>
      <c r="I60" s="9">
        <f>2680000+104755000</f>
        <v>107435000</v>
      </c>
      <c r="J60" s="9" t="e">
        <f t="shared" si="2"/>
        <v>#DIV/0!</v>
      </c>
      <c r="K60" s="9">
        <f>2547000+110042000</f>
        <v>112589000</v>
      </c>
      <c r="L60" s="9">
        <f>2547000+114019000</f>
        <v>116566000</v>
      </c>
      <c r="M60" s="9">
        <v>106133000</v>
      </c>
      <c r="N60" s="9">
        <v>106133000</v>
      </c>
      <c r="O60" s="9">
        <v>26275346</v>
      </c>
      <c r="P60" s="9">
        <v>120509308.93000001</v>
      </c>
      <c r="Q60" s="9">
        <v>120509308.93000001</v>
      </c>
      <c r="R60" s="9">
        <v>117653726.73999999</v>
      </c>
      <c r="S60" s="9">
        <v>-2855582.1900000125</v>
      </c>
      <c r="T60" s="53">
        <v>0.9763040530615047</v>
      </c>
      <c r="U60" s="9">
        <v>120509308.93000001</v>
      </c>
      <c r="V60" s="49">
        <f t="shared" si="14"/>
        <v>0</v>
      </c>
      <c r="W60" s="33"/>
      <c r="AB60" s="50" t="e">
        <f>H60/F60*100</f>
        <v>#DIV/0!</v>
      </c>
    </row>
    <row r="61" spans="1:28" ht="71.25">
      <c r="B61" s="51" t="s">
        <v>99</v>
      </c>
      <c r="C61" s="66" t="s">
        <v>1</v>
      </c>
      <c r="D61" s="9">
        <v>3821163.66</v>
      </c>
      <c r="E61" s="9">
        <v>768483.18</v>
      </c>
      <c r="F61" s="9"/>
      <c r="G61" s="9"/>
      <c r="H61" s="9">
        <v>957095.01</v>
      </c>
      <c r="I61" s="9">
        <v>4456000</v>
      </c>
      <c r="J61" s="9" t="e">
        <f t="shared" si="2"/>
        <v>#DIV/0!</v>
      </c>
      <c r="K61" s="9">
        <v>4673000</v>
      </c>
      <c r="L61" s="9">
        <v>4673000</v>
      </c>
      <c r="M61" s="9">
        <v>5300060.84</v>
      </c>
      <c r="N61" s="9">
        <v>5300060.84</v>
      </c>
      <c r="O61" s="9">
        <v>2138028.96</v>
      </c>
      <c r="P61" s="9">
        <v>7279360.5899999999</v>
      </c>
      <c r="Q61" s="9">
        <v>7279360.5899999999</v>
      </c>
      <c r="R61" s="9">
        <v>8034449.6900000004</v>
      </c>
      <c r="S61" s="9">
        <v>755089.10000000056</v>
      </c>
      <c r="T61" s="53">
        <v>1.1037301409463494</v>
      </c>
      <c r="U61" s="9">
        <v>7279360.5899999999</v>
      </c>
      <c r="V61" s="49">
        <f t="shared" si="14"/>
        <v>0</v>
      </c>
      <c r="W61" s="33"/>
      <c r="AB61" s="50" t="e">
        <f>H61/F61*100</f>
        <v>#DIV/0!</v>
      </c>
    </row>
    <row r="62" spans="1:28" ht="61.5" customHeight="1">
      <c r="B62" s="51" t="s">
        <v>100</v>
      </c>
      <c r="C62" s="66" t="s">
        <v>50</v>
      </c>
      <c r="D62" s="12">
        <v>19107000</v>
      </c>
      <c r="E62" s="12">
        <f>2438374.51+7.56</f>
        <v>2438382.0699999998</v>
      </c>
      <c r="F62" s="12"/>
      <c r="G62" s="12"/>
      <c r="H62" s="12">
        <v>3661452.13</v>
      </c>
      <c r="I62" s="12">
        <v>20710500</v>
      </c>
      <c r="J62" s="9" t="e">
        <f t="shared" si="2"/>
        <v>#DIV/0!</v>
      </c>
      <c r="K62" s="12">
        <v>19091000</v>
      </c>
      <c r="L62" s="12">
        <v>19091000</v>
      </c>
      <c r="M62" s="12">
        <v>19091000</v>
      </c>
      <c r="N62" s="12">
        <v>19091000</v>
      </c>
      <c r="O62" s="12">
        <v>8442136.1300000008</v>
      </c>
      <c r="P62" s="12">
        <v>21127000</v>
      </c>
      <c r="Q62" s="12">
        <v>21127000</v>
      </c>
      <c r="R62" s="12">
        <v>21712113.719999999</v>
      </c>
      <c r="S62" s="9">
        <v>585113.71999999881</v>
      </c>
      <c r="T62" s="53">
        <v>1.0276950688692195</v>
      </c>
      <c r="U62" s="12">
        <v>21127000</v>
      </c>
      <c r="V62" s="49">
        <f t="shared" si="14"/>
        <v>0</v>
      </c>
      <c r="W62" s="33"/>
      <c r="AB62" s="50" t="e">
        <f>H62/F62*100</f>
        <v>#DIV/0!</v>
      </c>
    </row>
    <row r="63" spans="1:28" ht="23.25" hidden="1" customHeight="1">
      <c r="B63" s="51" t="s">
        <v>180</v>
      </c>
      <c r="C63" s="66" t="s">
        <v>176</v>
      </c>
      <c r="D63" s="12"/>
      <c r="E63" s="12"/>
      <c r="F63" s="12"/>
      <c r="G63" s="12"/>
      <c r="H63" s="12"/>
      <c r="I63" s="12"/>
      <c r="J63" s="9"/>
      <c r="K63" s="12"/>
      <c r="L63" s="12"/>
      <c r="M63" s="12"/>
      <c r="N63" s="12"/>
      <c r="O63" s="12"/>
      <c r="P63" s="12"/>
      <c r="Q63" s="12"/>
      <c r="R63" s="12"/>
      <c r="S63" s="9">
        <v>0</v>
      </c>
      <c r="T63" s="53" t="e">
        <v>#DIV/0!</v>
      </c>
      <c r="U63" s="12"/>
      <c r="V63" s="49">
        <f t="shared" si="14"/>
        <v>0</v>
      </c>
      <c r="W63" s="33"/>
      <c r="AB63" s="50"/>
    </row>
    <row r="64" spans="1:28" ht="17.25" hidden="1" customHeight="1">
      <c r="B64" s="51" t="s">
        <v>175</v>
      </c>
      <c r="C64" s="78" t="s">
        <v>177</v>
      </c>
      <c r="D64" s="12"/>
      <c r="E64" s="12"/>
      <c r="F64" s="12"/>
      <c r="G64" s="12"/>
      <c r="H64" s="12"/>
      <c r="I64" s="12"/>
      <c r="J64" s="9"/>
      <c r="K64" s="12"/>
      <c r="L64" s="12"/>
      <c r="M64" s="12"/>
      <c r="N64" s="12"/>
      <c r="O64" s="12"/>
      <c r="P64" s="12"/>
      <c r="Q64" s="12"/>
      <c r="R64" s="12"/>
      <c r="S64" s="9">
        <v>0</v>
      </c>
      <c r="T64" s="53" t="e">
        <v>#DIV/0!</v>
      </c>
      <c r="U64" s="12"/>
      <c r="V64" s="49">
        <f t="shared" si="14"/>
        <v>0</v>
      </c>
      <c r="W64" s="33"/>
      <c r="AB64" s="50"/>
    </row>
    <row r="65" spans="1:35" ht="83.25" customHeight="1">
      <c r="B65" s="51" t="s">
        <v>175</v>
      </c>
      <c r="C65" s="73" t="s">
        <v>177</v>
      </c>
      <c r="D65" s="12"/>
      <c r="E65" s="12"/>
      <c r="F65" s="12"/>
      <c r="G65" s="12"/>
      <c r="H65" s="12"/>
      <c r="I65" s="12"/>
      <c r="J65" s="9"/>
      <c r="K65" s="12"/>
      <c r="L65" s="12"/>
      <c r="M65" s="12"/>
      <c r="N65" s="12"/>
      <c r="O65" s="12"/>
      <c r="P65" s="12">
        <v>39.36</v>
      </c>
      <c r="Q65" s="12">
        <v>39.36</v>
      </c>
      <c r="R65" s="12">
        <v>183.49</v>
      </c>
      <c r="S65" s="9">
        <v>144.13</v>
      </c>
      <c r="T65" s="53">
        <v>4.6618394308943092</v>
      </c>
      <c r="U65" s="12">
        <v>39.36</v>
      </c>
      <c r="V65" s="49">
        <f t="shared" si="14"/>
        <v>0</v>
      </c>
      <c r="W65" s="33"/>
      <c r="AB65" s="50"/>
    </row>
    <row r="66" spans="1:35" s="79" customFormat="1" ht="42.75">
      <c r="A66" s="30"/>
      <c r="B66" s="51" t="s">
        <v>101</v>
      </c>
      <c r="C66" s="66" t="s">
        <v>32</v>
      </c>
      <c r="D66" s="9">
        <v>3256740</v>
      </c>
      <c r="E66" s="9">
        <v>9000</v>
      </c>
      <c r="F66" s="9"/>
      <c r="G66" s="9"/>
      <c r="H66" s="9"/>
      <c r="I66" s="9">
        <v>2388040</v>
      </c>
      <c r="J66" s="9" t="e">
        <f t="shared" si="2"/>
        <v>#DIV/0!</v>
      </c>
      <c r="K66" s="9">
        <v>3219020</v>
      </c>
      <c r="L66" s="9">
        <v>3219020</v>
      </c>
      <c r="M66" s="9">
        <v>3219020</v>
      </c>
      <c r="N66" s="9">
        <v>3219020</v>
      </c>
      <c r="O66" s="9">
        <v>0</v>
      </c>
      <c r="P66" s="9">
        <f>3103320+181070</f>
        <v>3284390</v>
      </c>
      <c r="Q66" s="9">
        <v>3284390</v>
      </c>
      <c r="R66" s="9">
        <v>3284390</v>
      </c>
      <c r="S66" s="9">
        <v>0</v>
      </c>
      <c r="T66" s="53">
        <v>1</v>
      </c>
      <c r="U66" s="9">
        <f>3103320+181070</f>
        <v>3284390</v>
      </c>
      <c r="V66" s="49">
        <f t="shared" si="14"/>
        <v>0</v>
      </c>
      <c r="W66" s="33"/>
      <c r="X66" s="31"/>
      <c r="Y66" s="31"/>
      <c r="Z66" s="31"/>
      <c r="AA66" s="31"/>
      <c r="AB66" s="50" t="e">
        <f t="shared" ref="AB66:AB75" si="15">H66/F66*100</f>
        <v>#DIV/0!</v>
      </c>
      <c r="AC66" s="31"/>
      <c r="AD66" s="31"/>
      <c r="AE66" s="31"/>
      <c r="AF66" s="31"/>
      <c r="AG66" s="31"/>
      <c r="AH66" s="31"/>
      <c r="AI66" s="31"/>
    </row>
    <row r="67" spans="1:35" s="79" customFormat="1" ht="28.5">
      <c r="A67" s="30"/>
      <c r="B67" s="51" t="s">
        <v>102</v>
      </c>
      <c r="C67" s="66" t="s">
        <v>179</v>
      </c>
      <c r="D67" s="9">
        <v>172867</v>
      </c>
      <c r="E67" s="9">
        <v>25964.73</v>
      </c>
      <c r="F67" s="9"/>
      <c r="G67" s="9"/>
      <c r="H67" s="9">
        <v>61855.18</v>
      </c>
      <c r="I67" s="9">
        <v>172867</v>
      </c>
      <c r="J67" s="9" t="e">
        <f t="shared" si="2"/>
        <v>#DIV/0!</v>
      </c>
      <c r="K67" s="9">
        <v>140000</v>
      </c>
      <c r="L67" s="9">
        <v>126000</v>
      </c>
      <c r="M67" s="9">
        <v>155600</v>
      </c>
      <c r="N67" s="9">
        <v>155600</v>
      </c>
      <c r="O67" s="9">
        <v>118752.2</v>
      </c>
      <c r="P67" s="9">
        <v>408000</v>
      </c>
      <c r="Q67" s="9">
        <v>408000</v>
      </c>
      <c r="R67" s="9">
        <v>283588.65000000002</v>
      </c>
      <c r="S67" s="9">
        <v>-124411.34999999998</v>
      </c>
      <c r="T67" s="53">
        <v>0.69507022058823531</v>
      </c>
      <c r="U67" s="9">
        <v>408000</v>
      </c>
      <c r="V67" s="49">
        <f t="shared" si="14"/>
        <v>0</v>
      </c>
      <c r="W67" s="33"/>
      <c r="X67" s="31"/>
      <c r="Y67" s="31"/>
      <c r="Z67" s="31"/>
      <c r="AA67" s="31"/>
      <c r="AB67" s="50" t="e">
        <f t="shared" si="15"/>
        <v>#DIV/0!</v>
      </c>
      <c r="AC67" s="31"/>
      <c r="AD67" s="31"/>
      <c r="AE67" s="31"/>
      <c r="AF67" s="31"/>
      <c r="AG67" s="31"/>
      <c r="AH67" s="31"/>
      <c r="AI67" s="31"/>
    </row>
    <row r="68" spans="1:35" s="79" customFormat="1">
      <c r="A68" s="30"/>
      <c r="B68" s="51" t="s">
        <v>85</v>
      </c>
      <c r="C68" s="66" t="s">
        <v>8</v>
      </c>
      <c r="D68" s="9">
        <v>54168350</v>
      </c>
      <c r="E68" s="9">
        <f>308130.45-62134.62+1289626.51-1113369.02-943.07</f>
        <v>421310.25000000006</v>
      </c>
      <c r="F68" s="9"/>
      <c r="G68" s="9"/>
      <c r="H68" s="9">
        <v>16995085.030000001</v>
      </c>
      <c r="I68" s="9">
        <v>19092650</v>
      </c>
      <c r="J68" s="9" t="e">
        <f t="shared" si="2"/>
        <v>#DIV/0!</v>
      </c>
      <c r="K68" s="9">
        <v>31197900</v>
      </c>
      <c r="L68" s="9">
        <v>32435290</v>
      </c>
      <c r="M68" s="9">
        <v>29988050</v>
      </c>
      <c r="N68" s="9">
        <v>29988050</v>
      </c>
      <c r="O68" s="9">
        <v>21388913.079999998</v>
      </c>
      <c r="P68" s="9">
        <f>36139970+10000000</f>
        <v>46139970</v>
      </c>
      <c r="Q68" s="9">
        <v>46139970</v>
      </c>
      <c r="R68" s="9">
        <v>53228582.109999999</v>
      </c>
      <c r="S68" s="9">
        <v>7088612.1099999994</v>
      </c>
      <c r="T68" s="53">
        <v>1.1536327854136013</v>
      </c>
      <c r="U68" s="9">
        <v>53229033.109999999</v>
      </c>
      <c r="V68" s="49">
        <f t="shared" si="14"/>
        <v>7089063.1099999994</v>
      </c>
      <c r="W68" s="33"/>
      <c r="X68" s="31"/>
      <c r="Y68" s="31"/>
      <c r="Z68" s="31"/>
      <c r="AA68" s="31"/>
      <c r="AB68" s="50" t="e">
        <f t="shared" si="15"/>
        <v>#DIV/0!</v>
      </c>
      <c r="AC68" s="31"/>
      <c r="AD68" s="31"/>
      <c r="AE68" s="31"/>
      <c r="AF68" s="31"/>
      <c r="AG68" s="31"/>
      <c r="AH68" s="31"/>
      <c r="AI68" s="31"/>
    </row>
    <row r="69" spans="1:35" s="79" customFormat="1" hidden="1">
      <c r="A69" s="30"/>
      <c r="B69" s="51"/>
      <c r="C69" s="66"/>
      <c r="D69" s="9"/>
      <c r="E69" s="9"/>
      <c r="F69" s="9"/>
      <c r="G69" s="9"/>
      <c r="H69" s="9"/>
      <c r="I69" s="9"/>
      <c r="J69" s="9" t="e">
        <f t="shared" si="2"/>
        <v>#DIV/0!</v>
      </c>
      <c r="K69" s="9"/>
      <c r="L69" s="9"/>
      <c r="M69" s="9"/>
      <c r="N69" s="9"/>
      <c r="O69" s="9"/>
      <c r="P69" s="9"/>
      <c r="Q69" s="9"/>
      <c r="R69" s="9"/>
      <c r="S69" s="9">
        <v>0</v>
      </c>
      <c r="T69" s="53" t="e">
        <v>#DIV/0!</v>
      </c>
      <c r="U69" s="9"/>
      <c r="V69" s="49">
        <f t="shared" si="14"/>
        <v>0</v>
      </c>
      <c r="W69" s="33"/>
      <c r="X69" s="31"/>
      <c r="Y69" s="31"/>
      <c r="Z69" s="31"/>
      <c r="AA69" s="31"/>
      <c r="AB69" s="50" t="e">
        <f t="shared" si="15"/>
        <v>#DIV/0!</v>
      </c>
      <c r="AC69" s="31"/>
      <c r="AD69" s="31"/>
      <c r="AE69" s="31"/>
      <c r="AF69" s="31"/>
      <c r="AG69" s="31"/>
      <c r="AH69" s="31"/>
      <c r="AI69" s="31"/>
    </row>
    <row r="70" spans="1:35" s="79" customFormat="1" ht="42.75" hidden="1">
      <c r="A70" s="30"/>
      <c r="B70" s="51" t="s">
        <v>68</v>
      </c>
      <c r="C70" s="66" t="s">
        <v>69</v>
      </c>
      <c r="D70" s="9"/>
      <c r="E70" s="9"/>
      <c r="F70" s="9"/>
      <c r="G70" s="9"/>
      <c r="H70" s="9"/>
      <c r="I70" s="9"/>
      <c r="J70" s="9" t="e">
        <f t="shared" si="2"/>
        <v>#DIV/0!</v>
      </c>
      <c r="K70" s="9"/>
      <c r="L70" s="9"/>
      <c r="M70" s="9"/>
      <c r="N70" s="9"/>
      <c r="O70" s="9"/>
      <c r="P70" s="9"/>
      <c r="Q70" s="9"/>
      <c r="R70" s="9"/>
      <c r="S70" s="9">
        <v>0</v>
      </c>
      <c r="T70" s="53" t="e">
        <v>#DIV/0!</v>
      </c>
      <c r="U70" s="9"/>
      <c r="V70" s="49">
        <f t="shared" si="14"/>
        <v>0</v>
      </c>
      <c r="W70" s="33"/>
      <c r="X70" s="31"/>
      <c r="Y70" s="31"/>
      <c r="Z70" s="31"/>
      <c r="AA70" s="31"/>
      <c r="AB70" s="50" t="e">
        <f t="shared" si="15"/>
        <v>#DIV/0!</v>
      </c>
      <c r="AC70" s="31"/>
      <c r="AD70" s="31"/>
      <c r="AE70" s="31"/>
      <c r="AF70" s="31"/>
      <c r="AG70" s="31"/>
      <c r="AH70" s="31"/>
      <c r="AI70" s="31"/>
    </row>
    <row r="71" spans="1:35" s="79" customFormat="1" ht="18" hidden="1" customHeight="1">
      <c r="A71" s="30"/>
      <c r="B71" s="51" t="s">
        <v>115</v>
      </c>
      <c r="C71" s="66" t="s">
        <v>118</v>
      </c>
      <c r="D71" s="9"/>
      <c r="E71" s="9"/>
      <c r="F71" s="9"/>
      <c r="G71" s="9"/>
      <c r="H71" s="9"/>
      <c r="I71" s="9"/>
      <c r="J71" s="9" t="e">
        <f t="shared" si="2"/>
        <v>#DIV/0!</v>
      </c>
      <c r="K71" s="9"/>
      <c r="L71" s="9"/>
      <c r="M71" s="9"/>
      <c r="N71" s="9"/>
      <c r="O71" s="9"/>
      <c r="P71" s="9"/>
      <c r="Q71" s="9"/>
      <c r="R71" s="9"/>
      <c r="S71" s="9">
        <v>0</v>
      </c>
      <c r="T71" s="53" t="e">
        <v>#DIV/0!</v>
      </c>
      <c r="U71" s="9"/>
      <c r="V71" s="49">
        <f t="shared" si="14"/>
        <v>0</v>
      </c>
      <c r="W71" s="33"/>
      <c r="X71" s="31"/>
      <c r="Y71" s="31"/>
      <c r="Z71" s="31"/>
      <c r="AA71" s="31"/>
      <c r="AB71" s="50" t="e">
        <f t="shared" si="15"/>
        <v>#DIV/0!</v>
      </c>
      <c r="AC71" s="31"/>
      <c r="AD71" s="31"/>
      <c r="AE71" s="31"/>
      <c r="AF71" s="31"/>
      <c r="AG71" s="31"/>
      <c r="AH71" s="31"/>
      <c r="AI71" s="31"/>
    </row>
    <row r="72" spans="1:35" s="79" customFormat="1">
      <c r="A72" s="30"/>
      <c r="B72" s="51" t="s">
        <v>285</v>
      </c>
      <c r="C72" s="66" t="s">
        <v>129</v>
      </c>
      <c r="D72" s="9">
        <v>10361902.130000001</v>
      </c>
      <c r="E72" s="9">
        <f>38284.97+343583.93+4734719.95</f>
        <v>5116588.8500000006</v>
      </c>
      <c r="F72" s="9"/>
      <c r="G72" s="9"/>
      <c r="H72" s="9">
        <v>4355358.7699999996</v>
      </c>
      <c r="I72" s="9">
        <v>66262450.259999998</v>
      </c>
      <c r="J72" s="9" t="e">
        <f t="shared" si="2"/>
        <v>#DIV/0!</v>
      </c>
      <c r="K72" s="9"/>
      <c r="L72" s="9"/>
      <c r="M72" s="9">
        <v>26474839.059999999</v>
      </c>
      <c r="N72" s="9">
        <v>26474839.059999999</v>
      </c>
      <c r="O72" s="9">
        <v>12666664.1</v>
      </c>
      <c r="P72" s="9">
        <v>55405377.700000003</v>
      </c>
      <c r="Q72" s="9">
        <v>55405377.700000003</v>
      </c>
      <c r="R72" s="9">
        <v>61533974.200000003</v>
      </c>
      <c r="S72" s="9">
        <v>6128596.5</v>
      </c>
      <c r="T72" s="53">
        <v>1.1106137482390992</v>
      </c>
      <c r="U72" s="9">
        <v>58148709.280000001</v>
      </c>
      <c r="V72" s="49">
        <f t="shared" si="14"/>
        <v>2743331.5799999982</v>
      </c>
      <c r="W72" s="33"/>
      <c r="X72" s="31"/>
      <c r="Y72" s="31"/>
      <c r="Z72" s="31"/>
      <c r="AA72" s="31"/>
      <c r="AB72" s="50" t="e">
        <f t="shared" si="15"/>
        <v>#DIV/0!</v>
      </c>
      <c r="AC72" s="31"/>
      <c r="AD72" s="31"/>
      <c r="AE72" s="31"/>
      <c r="AF72" s="31"/>
      <c r="AG72" s="31"/>
      <c r="AH72" s="31"/>
      <c r="AI72" s="31"/>
    </row>
    <row r="73" spans="1:35" s="79" customFormat="1" ht="28.5">
      <c r="A73" s="30"/>
      <c r="B73" s="51" t="s">
        <v>103</v>
      </c>
      <c r="C73" s="66" t="s">
        <v>46</v>
      </c>
      <c r="D73" s="9">
        <v>2886000</v>
      </c>
      <c r="E73" s="9">
        <f>3442524.2</f>
        <v>3442524.2</v>
      </c>
      <c r="F73" s="9"/>
      <c r="G73" s="9"/>
      <c r="H73" s="9">
        <v>868783.09</v>
      </c>
      <c r="I73" s="9">
        <v>5550700</v>
      </c>
      <c r="J73" s="9" t="e">
        <f t="shared" si="2"/>
        <v>#DIV/0!</v>
      </c>
      <c r="K73" s="9">
        <v>2549300</v>
      </c>
      <c r="L73" s="9">
        <v>1974800</v>
      </c>
      <c r="M73" s="9">
        <v>2812700</v>
      </c>
      <c r="N73" s="9">
        <v>2812700</v>
      </c>
      <c r="O73" s="9">
        <v>1299954.81</v>
      </c>
      <c r="P73" s="9">
        <v>2549260</v>
      </c>
      <c r="Q73" s="9">
        <v>2549260</v>
      </c>
      <c r="R73" s="9">
        <v>2769383.77</v>
      </c>
      <c r="S73" s="9">
        <v>220123.77000000002</v>
      </c>
      <c r="T73" s="53">
        <v>1.0863481049402572</v>
      </c>
      <c r="U73" s="9">
        <v>2574383.77</v>
      </c>
      <c r="V73" s="49">
        <f t="shared" si="14"/>
        <v>25123.770000000019</v>
      </c>
      <c r="W73" s="33"/>
      <c r="X73" s="31"/>
      <c r="Y73" s="31"/>
      <c r="Z73" s="31"/>
      <c r="AA73" s="31"/>
      <c r="AB73" s="50" t="e">
        <f t="shared" si="15"/>
        <v>#DIV/0!</v>
      </c>
      <c r="AC73" s="31"/>
      <c r="AD73" s="31"/>
      <c r="AE73" s="31"/>
      <c r="AF73" s="31"/>
      <c r="AG73" s="31"/>
      <c r="AH73" s="31"/>
      <c r="AI73" s="31"/>
    </row>
    <row r="74" spans="1:35" s="79" customFormat="1">
      <c r="A74" s="30"/>
      <c r="B74" s="51" t="s">
        <v>199</v>
      </c>
      <c r="C74" s="66" t="s">
        <v>33</v>
      </c>
      <c r="D74" s="9">
        <v>177500</v>
      </c>
      <c r="E74" s="9">
        <v>1282714.1399999999</v>
      </c>
      <c r="F74" s="9"/>
      <c r="G74" s="9"/>
      <c r="H74" s="9">
        <f>480538.3+4580.09+0.72</f>
        <v>485119.11</v>
      </c>
      <c r="I74" s="9">
        <v>3000000</v>
      </c>
      <c r="J74" s="9" t="e">
        <f t="shared" si="2"/>
        <v>#DIV/0!</v>
      </c>
      <c r="K74" s="9">
        <v>1500000</v>
      </c>
      <c r="L74" s="9">
        <v>1500000</v>
      </c>
      <c r="M74" s="9">
        <v>1500000</v>
      </c>
      <c r="N74" s="9">
        <v>1500000</v>
      </c>
      <c r="O74" s="9">
        <v>678383.89</v>
      </c>
      <c r="P74" s="9">
        <v>1395814.72</v>
      </c>
      <c r="Q74" s="9">
        <v>1395814.72</v>
      </c>
      <c r="R74" s="9">
        <v>3186174.48</v>
      </c>
      <c r="S74" s="9">
        <v>1790359.76</v>
      </c>
      <c r="T74" s="53">
        <v>2.2826629024230378</v>
      </c>
      <c r="U74" s="9">
        <v>2225825.44</v>
      </c>
      <c r="V74" s="49">
        <f t="shared" si="14"/>
        <v>830010.72</v>
      </c>
      <c r="W74" s="33"/>
      <c r="X74" s="31"/>
      <c r="Y74" s="31"/>
      <c r="Z74" s="31"/>
      <c r="AA74" s="31"/>
      <c r="AB74" s="50" t="e">
        <f t="shared" si="15"/>
        <v>#DIV/0!</v>
      </c>
      <c r="AC74" s="31"/>
      <c r="AD74" s="31"/>
      <c r="AE74" s="31"/>
      <c r="AF74" s="31"/>
      <c r="AG74" s="31"/>
      <c r="AH74" s="31"/>
      <c r="AI74" s="31"/>
    </row>
    <row r="75" spans="1:35" s="79" customFormat="1" ht="57">
      <c r="A75" s="30"/>
      <c r="B75" s="51" t="s">
        <v>104</v>
      </c>
      <c r="C75" s="80" t="s">
        <v>263</v>
      </c>
      <c r="D75" s="9"/>
      <c r="E75" s="9"/>
      <c r="F75" s="9"/>
      <c r="G75" s="9"/>
      <c r="H75" s="9"/>
      <c r="I75" s="9"/>
      <c r="J75" s="9" t="e">
        <f t="shared" si="2"/>
        <v>#DIV/0!</v>
      </c>
      <c r="K75" s="9"/>
      <c r="L75" s="9"/>
      <c r="M75" s="9"/>
      <c r="N75" s="9"/>
      <c r="O75" s="9">
        <v>309927.74</v>
      </c>
      <c r="P75" s="9">
        <v>113308.61</v>
      </c>
      <c r="Q75" s="9">
        <v>113308.61</v>
      </c>
      <c r="R75" s="9">
        <v>113308.61</v>
      </c>
      <c r="S75" s="9">
        <v>0</v>
      </c>
      <c r="T75" s="53">
        <v>1</v>
      </c>
      <c r="U75" s="9">
        <v>113308.61</v>
      </c>
      <c r="V75" s="49">
        <f t="shared" si="14"/>
        <v>0</v>
      </c>
      <c r="W75" s="33"/>
      <c r="X75" s="31"/>
      <c r="Y75" s="31"/>
      <c r="Z75" s="31"/>
      <c r="AA75" s="31"/>
      <c r="AB75" s="50" t="e">
        <f t="shared" si="15"/>
        <v>#DIV/0!</v>
      </c>
      <c r="AC75" s="31"/>
      <c r="AD75" s="31"/>
      <c r="AE75" s="31"/>
      <c r="AF75" s="31"/>
      <c r="AG75" s="31"/>
      <c r="AH75" s="31"/>
      <c r="AI75" s="31"/>
    </row>
    <row r="76" spans="1:35" s="79" customFormat="1" ht="85.5" hidden="1">
      <c r="A76" s="30"/>
      <c r="B76" s="51" t="s">
        <v>197</v>
      </c>
      <c r="C76" s="66" t="s">
        <v>196</v>
      </c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>
        <v>0</v>
      </c>
      <c r="T76" s="53" t="e">
        <v>#DIV/0!</v>
      </c>
      <c r="U76" s="9"/>
      <c r="V76" s="49">
        <f t="shared" si="14"/>
        <v>0</v>
      </c>
      <c r="W76" s="33"/>
      <c r="X76" s="31"/>
      <c r="Y76" s="31"/>
      <c r="Z76" s="31"/>
      <c r="AA76" s="31"/>
      <c r="AB76" s="50"/>
      <c r="AC76" s="31"/>
      <c r="AD76" s="31"/>
      <c r="AE76" s="31"/>
      <c r="AF76" s="31"/>
      <c r="AG76" s="31"/>
      <c r="AH76" s="31"/>
      <c r="AI76" s="31"/>
    </row>
    <row r="77" spans="1:35" ht="17.25" customHeight="1">
      <c r="B77" s="51" t="s">
        <v>45</v>
      </c>
      <c r="C77" s="52" t="s">
        <v>23</v>
      </c>
      <c r="D77" s="12">
        <v>14000000</v>
      </c>
      <c r="E77" s="12">
        <f>52716.44+10559.43+30000+30000+42540+3000+4654.32+20000-40000+72500+1000+1000+21093.75+14000+25400+1495000+418568.47+1273463.1</f>
        <v>3475495.5100000002</v>
      </c>
      <c r="F77" s="12"/>
      <c r="G77" s="12"/>
      <c r="H77" s="12">
        <v>4898312.8499999996</v>
      </c>
      <c r="I77" s="12">
        <v>14000000</v>
      </c>
      <c r="J77" s="9" t="e">
        <f t="shared" si="2"/>
        <v>#DIV/0!</v>
      </c>
      <c r="K77" s="12">
        <v>14000000</v>
      </c>
      <c r="L77" s="12">
        <v>14000000</v>
      </c>
      <c r="M77" s="12">
        <v>14000000</v>
      </c>
      <c r="N77" s="12">
        <v>14000000</v>
      </c>
      <c r="O77" s="12">
        <v>6625262.6600000001</v>
      </c>
      <c r="P77" s="12">
        <v>33500000</v>
      </c>
      <c r="Q77" s="12">
        <v>33500000</v>
      </c>
      <c r="R77" s="12">
        <v>36723472.899999999</v>
      </c>
      <c r="S77" s="9">
        <v>3223472.8999999985</v>
      </c>
      <c r="T77" s="53">
        <v>1.0962230716417909</v>
      </c>
      <c r="U77" s="12">
        <v>34386942.899999999</v>
      </c>
      <c r="V77" s="49">
        <f t="shared" si="14"/>
        <v>886942.89999999851</v>
      </c>
      <c r="W77" s="33"/>
      <c r="AB77" s="50" t="e">
        <f>H77/F77*100</f>
        <v>#DIV/0!</v>
      </c>
    </row>
    <row r="78" spans="1:35" hidden="1">
      <c r="B78" s="51" t="s">
        <v>105</v>
      </c>
      <c r="C78" s="66" t="s">
        <v>37</v>
      </c>
      <c r="D78" s="9"/>
      <c r="E78" s="9"/>
      <c r="F78" s="9"/>
      <c r="G78" s="9"/>
      <c r="H78" s="9"/>
      <c r="I78" s="9"/>
      <c r="J78" s="9" t="e">
        <f t="shared" si="2"/>
        <v>#DIV/0!</v>
      </c>
      <c r="K78" s="9"/>
      <c r="L78" s="9"/>
      <c r="M78" s="9"/>
      <c r="N78" s="9"/>
      <c r="O78" s="9"/>
      <c r="P78" s="9"/>
      <c r="Q78" s="9"/>
      <c r="R78" s="9"/>
      <c r="S78" s="9">
        <v>0</v>
      </c>
      <c r="T78" s="53" t="e">
        <v>#DIV/0!</v>
      </c>
      <c r="U78" s="9"/>
      <c r="V78" s="49">
        <f t="shared" si="14"/>
        <v>0</v>
      </c>
      <c r="W78" s="33"/>
      <c r="AB78" s="50" t="e">
        <f>H78/F78*100</f>
        <v>#DIV/0!</v>
      </c>
    </row>
    <row r="79" spans="1:35" ht="16.5" customHeight="1">
      <c r="B79" s="51" t="s">
        <v>128</v>
      </c>
      <c r="C79" s="66" t="s">
        <v>86</v>
      </c>
      <c r="D79" s="9"/>
      <c r="E79" s="9">
        <f>318765.67+2600+0.6</f>
        <v>321366.26999999996</v>
      </c>
      <c r="F79" s="9"/>
      <c r="G79" s="9"/>
      <c r="H79" s="9">
        <v>153516.79</v>
      </c>
      <c r="I79" s="9">
        <v>238900.32</v>
      </c>
      <c r="J79" s="9"/>
      <c r="K79" s="9"/>
      <c r="L79" s="9"/>
      <c r="M79" s="9"/>
      <c r="N79" s="9"/>
      <c r="O79" s="9">
        <v>698987.68</v>
      </c>
      <c r="P79" s="9"/>
      <c r="Q79" s="9"/>
      <c r="R79" s="9">
        <v>34938.86</v>
      </c>
      <c r="S79" s="9">
        <v>34938.86</v>
      </c>
      <c r="T79" s="53"/>
      <c r="U79" s="9">
        <v>11100</v>
      </c>
      <c r="V79" s="49">
        <f t="shared" si="14"/>
        <v>11100</v>
      </c>
      <c r="W79" s="33"/>
      <c r="AB79" s="50"/>
    </row>
    <row r="80" spans="1:35" ht="15" hidden="1">
      <c r="B80" s="51" t="s">
        <v>198</v>
      </c>
      <c r="C80" s="66" t="s">
        <v>86</v>
      </c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81"/>
      <c r="S80" s="7">
        <v>0</v>
      </c>
      <c r="T80" s="43" t="e">
        <v>#DIV/0!</v>
      </c>
      <c r="U80" s="9"/>
      <c r="V80" s="49">
        <f t="shared" si="14"/>
        <v>0</v>
      </c>
      <c r="W80" s="33"/>
      <c r="AB80" s="50"/>
    </row>
    <row r="81" spans="1:28" s="46" customFormat="1" ht="21" customHeight="1">
      <c r="A81" s="38"/>
      <c r="B81" s="41"/>
      <c r="C81" s="41" t="s">
        <v>51</v>
      </c>
      <c r="D81" s="7">
        <f>D54+D12</f>
        <v>2654493910.3699999</v>
      </c>
      <c r="E81" s="7">
        <f>E54+E12</f>
        <v>585455418.54000008</v>
      </c>
      <c r="F81" s="7">
        <f>F54+F12</f>
        <v>0</v>
      </c>
      <c r="G81" s="7">
        <f>F81-E81</f>
        <v>-585455418.54000008</v>
      </c>
      <c r="H81" s="7">
        <f>H54+H12</f>
        <v>575512501.63999999</v>
      </c>
      <c r="I81" s="7">
        <f>I54+I12</f>
        <v>2173039105.9499998</v>
      </c>
      <c r="J81" s="7" t="e">
        <f t="shared" si="2"/>
        <v>#DIV/0!</v>
      </c>
      <c r="K81" s="7">
        <f t="shared" ref="K81:O81" si="16">K54+K12</f>
        <v>2084423098.8</v>
      </c>
      <c r="L81" s="7">
        <f t="shared" si="16"/>
        <v>2204971052.0500002</v>
      </c>
      <c r="M81" s="7">
        <f t="shared" si="16"/>
        <v>2483619763.9499998</v>
      </c>
      <c r="N81" s="7">
        <f t="shared" si="16"/>
        <v>2493659477.6099997</v>
      </c>
      <c r="O81" s="7">
        <f t="shared" si="16"/>
        <v>924140642.85000002</v>
      </c>
      <c r="P81" s="7">
        <f>P54+P12</f>
        <v>2884217491.6500001</v>
      </c>
      <c r="Q81" s="7">
        <v>2884217491.6500001</v>
      </c>
      <c r="R81" s="7">
        <v>3008733120.4899998</v>
      </c>
      <c r="S81" s="7">
        <v>124515628.83999968</v>
      </c>
      <c r="T81" s="43">
        <v>1.0431713728942011</v>
      </c>
      <c r="U81" s="7">
        <f>U54+U12</f>
        <v>2923438242</v>
      </c>
      <c r="V81" s="44">
        <f t="shared" si="14"/>
        <v>39220750.349999905</v>
      </c>
      <c r="W81" s="45"/>
      <c r="AB81" s="47" t="e">
        <f>H81/F81*100</f>
        <v>#DIV/0!</v>
      </c>
    </row>
    <row r="82" spans="1:28" s="46" customFormat="1" ht="21" customHeight="1">
      <c r="A82" s="38"/>
      <c r="B82" s="82"/>
      <c r="C82" s="83" t="s">
        <v>36</v>
      </c>
      <c r="D82" s="7" t="e">
        <f>D83+D143+D192+D194+D195+#REF!+#REF!+D199</f>
        <v>#REF!</v>
      </c>
      <c r="E82" s="7" t="e">
        <f>E83+E143+E192+E194+E195+#REF!+#REF!+E199</f>
        <v>#REF!</v>
      </c>
      <c r="F82" s="7" t="e">
        <f>F83+F143+F192+F194+F195+#REF!+#REF!+F199</f>
        <v>#REF!</v>
      </c>
      <c r="G82" s="7" t="e">
        <f>F82-E82</f>
        <v>#REF!</v>
      </c>
      <c r="H82" s="7" t="e">
        <f>H83+H143+H192+H194+H195+#REF!+#REF!+H199</f>
        <v>#REF!</v>
      </c>
      <c r="I82" s="7" t="e">
        <f>I83+I143+I192+I194+I195+#REF!+#REF!+I199</f>
        <v>#REF!</v>
      </c>
      <c r="J82" s="7"/>
      <c r="K82" s="7"/>
      <c r="L82" s="7"/>
      <c r="M82" s="7"/>
      <c r="N82" s="7" t="e">
        <f>N83+N143+N190+N191+N192+N195+N199</f>
        <v>#REF!</v>
      </c>
      <c r="O82" s="7" t="e">
        <f>O83+O143+O190+O191+O192+O195+O199</f>
        <v>#REF!</v>
      </c>
      <c r="P82" s="7">
        <f>P83+P143+P189+P190+P191+P192+P193+P194+P195+P197+P198+P199+P196</f>
        <v>1987789286.7800007</v>
      </c>
      <c r="Q82" s="7">
        <v>2076833046.1799998</v>
      </c>
      <c r="R82" s="7">
        <v>2076140828.9299998</v>
      </c>
      <c r="S82" s="7">
        <v>-692217.25</v>
      </c>
      <c r="T82" s="43">
        <v>0.99966669576484579</v>
      </c>
      <c r="U82" s="7">
        <f>U83+U143+U189+U190+U191+U192+U193+U194+U195+U197+U198+U199</f>
        <v>1991222786.1100006</v>
      </c>
      <c r="V82" s="44">
        <f t="shared" si="14"/>
        <v>3433499.3299999237</v>
      </c>
      <c r="W82" s="45"/>
      <c r="AB82" s="30"/>
    </row>
    <row r="83" spans="1:28" s="86" customFormat="1" ht="30" customHeight="1">
      <c r="A83" s="84"/>
      <c r="B83" s="41"/>
      <c r="C83" s="24" t="s">
        <v>119</v>
      </c>
      <c r="D83" s="15" t="e">
        <f>D87+#REF!+D84+D137</f>
        <v>#REF!</v>
      </c>
      <c r="E83" s="15" t="e">
        <f>E87+#REF!+E84+E137</f>
        <v>#REF!</v>
      </c>
      <c r="F83" s="15" t="e">
        <f>F87+#REF!+F84+F137</f>
        <v>#REF!</v>
      </c>
      <c r="G83" s="15" t="e">
        <f>G87+#REF!+G84+G137</f>
        <v>#REF!</v>
      </c>
      <c r="H83" s="15" t="e">
        <f>H87+#REF!+H84+H137</f>
        <v>#REF!</v>
      </c>
      <c r="I83" s="15" t="e">
        <f>I87+#REF!+I84+I137</f>
        <v>#REF!</v>
      </c>
      <c r="J83" s="15"/>
      <c r="K83" s="15"/>
      <c r="L83" s="15"/>
      <c r="M83" s="15"/>
      <c r="N83" s="15" t="e">
        <f>N87+N96+N137</f>
        <v>#REF!</v>
      </c>
      <c r="O83" s="15" t="e">
        <f>O87+O96+O137</f>
        <v>#REF!</v>
      </c>
      <c r="P83" s="15">
        <f>P84+P87+P96+P137</f>
        <v>1508966485.1200006</v>
      </c>
      <c r="Q83" s="15">
        <v>1598010244.5199997</v>
      </c>
      <c r="R83" s="15">
        <v>1594709916.9499998</v>
      </c>
      <c r="S83" s="7">
        <v>-3300327.5699999332</v>
      </c>
      <c r="T83" s="43">
        <v>0.99793472690095852</v>
      </c>
      <c r="U83" s="15">
        <f>U84+U87+U96+U137</f>
        <v>1509416221.4600005</v>
      </c>
      <c r="V83" s="44">
        <f t="shared" si="14"/>
        <v>449736.33999991417</v>
      </c>
      <c r="W83" s="85"/>
      <c r="AB83" s="54"/>
    </row>
    <row r="84" spans="1:28" s="86" customFormat="1" ht="29.25" customHeight="1">
      <c r="A84" s="84"/>
      <c r="B84" s="87" t="s">
        <v>262</v>
      </c>
      <c r="C84" s="24" t="s">
        <v>82</v>
      </c>
      <c r="D84" s="15" t="e">
        <f>#REF!+#REF!+#REF!+#REF!+D85</f>
        <v>#REF!</v>
      </c>
      <c r="E84" s="15" t="e">
        <f>#REF!+#REF!+#REF!+#REF!+E85+#REF!</f>
        <v>#REF!</v>
      </c>
      <c r="F84" s="15" t="e">
        <f>#REF!+#REF!+#REF!+#REF!+F85+#REF!</f>
        <v>#REF!</v>
      </c>
      <c r="G84" s="15" t="e">
        <f>#REF!+#REF!+#REF!+#REF!+G85+#REF!</f>
        <v>#REF!</v>
      </c>
      <c r="H84" s="15" t="e">
        <f>#REF!+#REF!+#REF!+#REF!+H85+#REF!</f>
        <v>#REF!</v>
      </c>
      <c r="I84" s="15" t="e">
        <f>#REF!+#REF!+#REF!+#REF!+I85</f>
        <v>#REF!</v>
      </c>
      <c r="J84" s="15"/>
      <c r="K84" s="15"/>
      <c r="L84" s="15"/>
      <c r="M84" s="15"/>
      <c r="N84" s="15">
        <f>M84+L84</f>
        <v>0</v>
      </c>
      <c r="O84" s="15">
        <f>N84+M84</f>
        <v>0</v>
      </c>
      <c r="P84" s="15">
        <f>P85+P86</f>
        <v>6842000</v>
      </c>
      <c r="Q84" s="15">
        <v>7565780</v>
      </c>
      <c r="R84" s="15">
        <v>7565780</v>
      </c>
      <c r="S84" s="7">
        <v>0</v>
      </c>
      <c r="T84" s="43">
        <v>1</v>
      </c>
      <c r="U84" s="15">
        <f>U85+U86</f>
        <v>7565780</v>
      </c>
      <c r="V84" s="44">
        <f t="shared" si="14"/>
        <v>723780</v>
      </c>
      <c r="W84" s="85"/>
      <c r="AB84" s="54"/>
    </row>
    <row r="85" spans="1:28" s="86" customFormat="1" ht="28.5">
      <c r="A85" s="84"/>
      <c r="B85" s="88" t="s">
        <v>262</v>
      </c>
      <c r="C85" s="89" t="s">
        <v>200</v>
      </c>
      <c r="D85" s="4"/>
      <c r="E85" s="4"/>
      <c r="F85" s="4">
        <v>333700</v>
      </c>
      <c r="G85" s="4">
        <f t="shared" ref="G85:G141" si="17">F85-E85</f>
        <v>333700</v>
      </c>
      <c r="H85" s="4">
        <v>333700</v>
      </c>
      <c r="I85" s="4">
        <v>333700</v>
      </c>
      <c r="J85" s="4"/>
      <c r="K85" s="4"/>
      <c r="L85" s="4"/>
      <c r="M85" s="4"/>
      <c r="N85" s="4"/>
      <c r="O85" s="4"/>
      <c r="P85" s="4">
        <f>4000000+2842000</f>
        <v>6842000</v>
      </c>
      <c r="Q85" s="4">
        <v>6842000</v>
      </c>
      <c r="R85" s="4">
        <v>6842000</v>
      </c>
      <c r="S85" s="7">
        <v>0</v>
      </c>
      <c r="T85" s="43">
        <v>1</v>
      </c>
      <c r="U85" s="4">
        <f>4000000+2842000</f>
        <v>6842000</v>
      </c>
      <c r="V85" s="49">
        <f t="shared" si="14"/>
        <v>0</v>
      </c>
      <c r="W85" s="85"/>
      <c r="AB85" s="54"/>
    </row>
    <row r="86" spans="1:28" s="60" customFormat="1" ht="57">
      <c r="A86" s="54"/>
      <c r="B86" s="88" t="s">
        <v>262</v>
      </c>
      <c r="C86" s="89" t="s">
        <v>278</v>
      </c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>
        <v>723780</v>
      </c>
      <c r="R86" s="4">
        <v>723780</v>
      </c>
      <c r="S86" s="9">
        <v>0</v>
      </c>
      <c r="T86" s="53">
        <v>1</v>
      </c>
      <c r="U86" s="4">
        <v>723780</v>
      </c>
      <c r="V86" s="49">
        <f t="shared" si="14"/>
        <v>723780</v>
      </c>
      <c r="W86" s="85"/>
      <c r="AB86" s="54"/>
    </row>
    <row r="87" spans="1:28" s="46" customFormat="1" ht="30">
      <c r="A87" s="38"/>
      <c r="B87" s="87" t="s">
        <v>203</v>
      </c>
      <c r="C87" s="90" t="s">
        <v>120</v>
      </c>
      <c r="D87" s="15">
        <f t="shared" ref="D87:I87" si="18">SUM(D88:D95)</f>
        <v>18831000</v>
      </c>
      <c r="E87" s="15">
        <f t="shared" si="18"/>
        <v>11320781</v>
      </c>
      <c r="F87" s="15">
        <f t="shared" si="18"/>
        <v>20979214</v>
      </c>
      <c r="G87" s="15">
        <f t="shared" si="18"/>
        <v>9658433</v>
      </c>
      <c r="H87" s="15">
        <f t="shared" si="18"/>
        <v>20979214</v>
      </c>
      <c r="I87" s="15">
        <f t="shared" si="18"/>
        <v>20979214</v>
      </c>
      <c r="J87" s="15"/>
      <c r="K87" s="15"/>
      <c r="L87" s="15"/>
      <c r="M87" s="15"/>
      <c r="N87" s="15" t="e">
        <f>#REF!+#REF!+N94+N95+#REF!+#REF!+#REF!</f>
        <v>#REF!</v>
      </c>
      <c r="O87" s="15" t="e">
        <f>#REF!+#REF!+O94+O95+#REF!+#REF!+#REF!</f>
        <v>#REF!</v>
      </c>
      <c r="P87" s="15">
        <f>SUM(P88:P95)</f>
        <v>41251985.009999998</v>
      </c>
      <c r="Q87" s="15">
        <v>41251985.009999998</v>
      </c>
      <c r="R87" s="15">
        <v>38891780.920000002</v>
      </c>
      <c r="S87" s="7">
        <v>-2360204.0899999961</v>
      </c>
      <c r="T87" s="43">
        <v>0.94278568438760335</v>
      </c>
      <c r="U87" s="15">
        <f>SUM(U88:U95)</f>
        <v>41251985.009999998</v>
      </c>
      <c r="V87" s="44">
        <f t="shared" si="14"/>
        <v>0</v>
      </c>
      <c r="W87" s="85"/>
      <c r="AB87" s="30"/>
    </row>
    <row r="88" spans="1:28" s="46" customFormat="1" ht="114" hidden="1">
      <c r="A88" s="38"/>
      <c r="B88" s="51" t="s">
        <v>271</v>
      </c>
      <c r="C88" s="91" t="s">
        <v>272</v>
      </c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>
        <f>23862900-23862900</f>
        <v>0</v>
      </c>
      <c r="Q88" s="16">
        <v>0</v>
      </c>
      <c r="R88" s="16"/>
      <c r="S88" s="7">
        <v>0</v>
      </c>
      <c r="T88" s="43" t="e">
        <v>#DIV/0!</v>
      </c>
      <c r="U88" s="16"/>
      <c r="V88" s="49">
        <f t="shared" si="14"/>
        <v>0</v>
      </c>
      <c r="W88" s="85"/>
      <c r="AB88" s="30"/>
    </row>
    <row r="89" spans="1:28" s="46" customFormat="1" ht="71.25" hidden="1">
      <c r="A89" s="38"/>
      <c r="B89" s="88" t="s">
        <v>279</v>
      </c>
      <c r="C89" s="91" t="s">
        <v>280</v>
      </c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7">
        <v>0</v>
      </c>
      <c r="T89" s="43" t="e">
        <v>#DIV/0!</v>
      </c>
      <c r="U89" s="16"/>
      <c r="V89" s="49"/>
      <c r="W89" s="85"/>
      <c r="AB89" s="30"/>
    </row>
    <row r="90" spans="1:28" s="46" customFormat="1" ht="57" hidden="1">
      <c r="A90" s="38"/>
      <c r="B90" s="88" t="s">
        <v>186</v>
      </c>
      <c r="C90" s="91" t="s">
        <v>281</v>
      </c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7">
        <v>0</v>
      </c>
      <c r="T90" s="43" t="e">
        <v>#DIV/0!</v>
      </c>
      <c r="U90" s="16"/>
      <c r="V90" s="49"/>
      <c r="W90" s="85"/>
      <c r="AB90" s="30"/>
    </row>
    <row r="91" spans="1:28" ht="28.5">
      <c r="B91" s="51" t="s">
        <v>267</v>
      </c>
      <c r="C91" s="27" t="s">
        <v>268</v>
      </c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>
        <v>16566867.01</v>
      </c>
      <c r="Q91" s="16">
        <v>16566867.01</v>
      </c>
      <c r="R91" s="16">
        <v>16566867.01</v>
      </c>
      <c r="S91" s="9">
        <v>0</v>
      </c>
      <c r="T91" s="53">
        <v>1</v>
      </c>
      <c r="U91" s="16">
        <v>16566867.01</v>
      </c>
      <c r="V91" s="49">
        <f>U91-P91</f>
        <v>0</v>
      </c>
      <c r="W91" s="85"/>
    </row>
    <row r="92" spans="1:28" ht="60" customHeight="1">
      <c r="B92" s="51" t="s">
        <v>255</v>
      </c>
      <c r="C92" s="27" t="s">
        <v>256</v>
      </c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>
        <v>4531000</v>
      </c>
      <c r="Q92" s="16">
        <v>4531000</v>
      </c>
      <c r="R92" s="16">
        <v>2170795.91</v>
      </c>
      <c r="S92" s="9">
        <v>-2360204.09</v>
      </c>
      <c r="T92" s="53">
        <v>0.47909863385566104</v>
      </c>
      <c r="U92" s="16">
        <v>4531000</v>
      </c>
      <c r="V92" s="49">
        <f>U92-P92</f>
        <v>0</v>
      </c>
      <c r="W92" s="85"/>
      <c r="X92" s="33">
        <f>W92-R92</f>
        <v>-2170795.91</v>
      </c>
    </row>
    <row r="93" spans="1:28" ht="28.5" hidden="1">
      <c r="B93" s="51" t="s">
        <v>173</v>
      </c>
      <c r="C93" s="73" t="s">
        <v>174</v>
      </c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9">
        <v>0</v>
      </c>
      <c r="T93" s="53" t="e">
        <v>#DIV/0!</v>
      </c>
      <c r="U93" s="16"/>
      <c r="V93" s="49"/>
      <c r="W93" s="85"/>
    </row>
    <row r="94" spans="1:28" ht="21" customHeight="1">
      <c r="B94" s="51" t="s">
        <v>204</v>
      </c>
      <c r="C94" s="73" t="s">
        <v>130</v>
      </c>
      <c r="D94" s="4">
        <v>18831000</v>
      </c>
      <c r="E94" s="4">
        <v>10332000</v>
      </c>
      <c r="F94" s="4">
        <v>18831000</v>
      </c>
      <c r="G94" s="4">
        <f t="shared" si="17"/>
        <v>8499000</v>
      </c>
      <c r="H94" s="4">
        <v>18831000</v>
      </c>
      <c r="I94" s="4">
        <v>18831000</v>
      </c>
      <c r="J94" s="4"/>
      <c r="K94" s="4"/>
      <c r="L94" s="4"/>
      <c r="M94" s="4"/>
      <c r="N94" s="4">
        <v>18846000</v>
      </c>
      <c r="O94" s="4"/>
      <c r="P94" s="4">
        <f>8478000+10599000</f>
        <v>19077000</v>
      </c>
      <c r="Q94" s="4">
        <v>19077000</v>
      </c>
      <c r="R94" s="4">
        <v>19077000</v>
      </c>
      <c r="S94" s="9">
        <v>0</v>
      </c>
      <c r="T94" s="53">
        <v>1</v>
      </c>
      <c r="U94" s="4">
        <f>8478000+10599000</f>
        <v>19077000</v>
      </c>
      <c r="V94" s="49">
        <f>U94-P94</f>
        <v>0</v>
      </c>
      <c r="W94" s="85"/>
    </row>
    <row r="95" spans="1:28" ht="45" customHeight="1">
      <c r="B95" s="51" t="s">
        <v>266</v>
      </c>
      <c r="C95" s="73" t="s">
        <v>158</v>
      </c>
      <c r="D95" s="4"/>
      <c r="E95" s="4">
        <v>988781</v>
      </c>
      <c r="F95" s="4">
        <v>2148214</v>
      </c>
      <c r="G95" s="4">
        <f t="shared" si="17"/>
        <v>1159433</v>
      </c>
      <c r="H95" s="4">
        <v>2148214</v>
      </c>
      <c r="I95" s="4">
        <v>2148214</v>
      </c>
      <c r="J95" s="4"/>
      <c r="K95" s="4"/>
      <c r="L95" s="4"/>
      <c r="M95" s="4"/>
      <c r="N95" s="4">
        <v>712985</v>
      </c>
      <c r="O95" s="4">
        <v>712985</v>
      </c>
      <c r="P95" s="4">
        <v>1077118</v>
      </c>
      <c r="Q95" s="4">
        <v>1077118</v>
      </c>
      <c r="R95" s="4">
        <v>1077118</v>
      </c>
      <c r="S95" s="9">
        <v>0</v>
      </c>
      <c r="T95" s="53">
        <v>1</v>
      </c>
      <c r="U95" s="4">
        <v>1077118</v>
      </c>
      <c r="V95" s="49">
        <f>U95-P95</f>
        <v>0</v>
      </c>
      <c r="W95" s="85"/>
    </row>
    <row r="96" spans="1:28" s="46" customFormat="1" ht="30">
      <c r="A96" s="38"/>
      <c r="B96" s="87" t="s">
        <v>205</v>
      </c>
      <c r="C96" s="90" t="s">
        <v>63</v>
      </c>
      <c r="D96" s="4">
        <v>358400</v>
      </c>
      <c r="E96" s="4">
        <v>358000</v>
      </c>
      <c r="F96" s="4">
        <v>248000</v>
      </c>
      <c r="G96" s="4">
        <f t="shared" si="17"/>
        <v>-110000</v>
      </c>
      <c r="H96" s="4">
        <v>248000</v>
      </c>
      <c r="I96" s="4">
        <v>203490</v>
      </c>
      <c r="J96" s="4"/>
      <c r="K96" s="4"/>
      <c r="L96" s="4"/>
      <c r="M96" s="4"/>
      <c r="N96" s="15" t="e">
        <f>N97+N98+N100</f>
        <v>#REF!</v>
      </c>
      <c r="O96" s="15" t="e">
        <f>O97+O98+O100</f>
        <v>#REF!</v>
      </c>
      <c r="P96" s="15">
        <f>P97+P98+P100</f>
        <v>1460681780.3700006</v>
      </c>
      <c r="Q96" s="15">
        <v>1539554599.7699997</v>
      </c>
      <c r="R96" s="15">
        <v>1538614476.2899997</v>
      </c>
      <c r="S96" s="7">
        <v>-940123.48000001907</v>
      </c>
      <c r="T96" s="43">
        <v>0.99938935359607217</v>
      </c>
      <c r="U96" s="15">
        <f>U97+U98+U100</f>
        <v>1460407736.7100005</v>
      </c>
      <c r="V96" s="44">
        <f t="shared" ref="V96:V160" si="19">U96-P96</f>
        <v>-274043.66000008583</v>
      </c>
      <c r="W96" s="85"/>
      <c r="AB96" s="30"/>
    </row>
    <row r="97" spans="1:28" ht="48" hidden="1" customHeight="1">
      <c r="B97" s="51" t="s">
        <v>206</v>
      </c>
      <c r="C97" s="26" t="s">
        <v>106</v>
      </c>
      <c r="D97" s="4"/>
      <c r="E97" s="4">
        <v>118400</v>
      </c>
      <c r="F97" s="4"/>
      <c r="G97" s="4">
        <f t="shared" si="17"/>
        <v>-118400</v>
      </c>
      <c r="H97" s="4"/>
      <c r="I97" s="4"/>
      <c r="J97" s="4"/>
      <c r="K97" s="4"/>
      <c r="L97" s="4"/>
      <c r="M97" s="4"/>
      <c r="N97" s="4">
        <v>261600</v>
      </c>
      <c r="O97" s="4">
        <v>167400</v>
      </c>
      <c r="P97" s="4">
        <f>221000+180000</f>
        <v>401000</v>
      </c>
      <c r="Q97" s="4">
        <v>0</v>
      </c>
      <c r="R97" s="4"/>
      <c r="S97" s="9">
        <v>0</v>
      </c>
      <c r="T97" s="53" t="e">
        <v>#DIV/0!</v>
      </c>
      <c r="U97" s="4">
        <f>221000+180000</f>
        <v>401000</v>
      </c>
      <c r="V97" s="49">
        <f t="shared" si="19"/>
        <v>0</v>
      </c>
      <c r="W97" s="85"/>
    </row>
    <row r="98" spans="1:28" ht="48.75" customHeight="1">
      <c r="B98" s="51" t="s">
        <v>207</v>
      </c>
      <c r="C98" s="26" t="s">
        <v>107</v>
      </c>
      <c r="D98" s="4"/>
      <c r="E98" s="4">
        <v>453085.39</v>
      </c>
      <c r="F98" s="4"/>
      <c r="G98" s="4">
        <f t="shared" si="17"/>
        <v>-453085.39</v>
      </c>
      <c r="H98" s="4"/>
      <c r="I98" s="4"/>
      <c r="J98" s="4"/>
      <c r="K98" s="4"/>
      <c r="L98" s="4"/>
      <c r="M98" s="4"/>
      <c r="N98" s="4">
        <v>7964900</v>
      </c>
      <c r="O98" s="4">
        <v>4619642</v>
      </c>
      <c r="P98" s="4">
        <f>9460300+97800</f>
        <v>9558100</v>
      </c>
      <c r="Q98" s="4">
        <v>9558100</v>
      </c>
      <c r="R98" s="4">
        <v>9558100</v>
      </c>
      <c r="S98" s="9">
        <v>0</v>
      </c>
      <c r="T98" s="53">
        <v>1</v>
      </c>
      <c r="U98" s="4">
        <v>9460300</v>
      </c>
      <c r="V98" s="49">
        <f t="shared" si="19"/>
        <v>-97800</v>
      </c>
      <c r="W98" s="85"/>
    </row>
    <row r="99" spans="1:28" s="46" customFormat="1" ht="44.25" hidden="1" customHeight="1">
      <c r="A99" s="38"/>
      <c r="B99" s="51" t="s">
        <v>35</v>
      </c>
      <c r="C99" s="26" t="s">
        <v>108</v>
      </c>
      <c r="D99" s="15">
        <f>SUM(D100:D128)</f>
        <v>1212302656</v>
      </c>
      <c r="E99" s="15" t="e">
        <f>E100+E101+E102+E103+E104+E105+E106+E108+E109+E110+E111+E112+E113+E114+E115+E116+E117+E118+E119+E120+E121+E122+E123+E129+E130+E132+E133+E124+#REF!+#REF!+#REF!</f>
        <v>#REF!</v>
      </c>
      <c r="F99" s="15" t="e">
        <f>F100+F101+F102+F103+F104+F105+F106+F108+F109+F110+F111+F112+F113+F114+F115+F116+F117+F118+F119+F120+F121+F122+F123+F129+F130+F132+F133+F124+#REF!+#REF!+#REF!</f>
        <v>#REF!</v>
      </c>
      <c r="G99" s="15" t="e">
        <f>G100+G101+G102+G103+G104+G105+G106+G108+G109+G110+G111+G112+G113+G114+G115+G116+G117+G118+G119+G120+G121+G122+G123+G129+G130+G132+G133+G124+#REF!+#REF!+#REF!</f>
        <v>#REF!</v>
      </c>
      <c r="H99" s="15" t="e">
        <f>H100+H101+H102+H103+H104+H105+H106+H108+H109+H110+H111+H112+H113+H114+H115+H116+H117+H118+H119+H120+H121+H122+H123+H129+H130+H132+H133+H124+#REF!+#REF!+#REF!</f>
        <v>#REF!</v>
      </c>
      <c r="I99" s="15">
        <f>SUM(I100:I128)</f>
        <v>861790672.96000016</v>
      </c>
      <c r="J99" s="15"/>
      <c r="K99" s="15"/>
      <c r="L99" s="15"/>
      <c r="M99" s="15"/>
      <c r="N99" s="4">
        <f>M99+L99</f>
        <v>0</v>
      </c>
      <c r="O99" s="4"/>
      <c r="P99" s="4">
        <f>O99+N99</f>
        <v>0</v>
      </c>
      <c r="Q99" s="4">
        <v>0</v>
      </c>
      <c r="R99" s="4"/>
      <c r="S99" s="7">
        <v>0</v>
      </c>
      <c r="T99" s="43" t="e">
        <v>#DIV/0!</v>
      </c>
      <c r="U99" s="4" t="e">
        <f>#REF!+#REF!</f>
        <v>#REF!</v>
      </c>
      <c r="V99" s="49" t="e">
        <f t="shared" si="19"/>
        <v>#REF!</v>
      </c>
      <c r="W99" s="85"/>
      <c r="AB99" s="30"/>
    </row>
    <row r="100" spans="1:28" s="60" customFormat="1" ht="45">
      <c r="A100" s="54"/>
      <c r="B100" s="41" t="s">
        <v>208</v>
      </c>
      <c r="C100" s="24" t="s">
        <v>2</v>
      </c>
      <c r="D100" s="4">
        <f>265200</f>
        <v>265200</v>
      </c>
      <c r="E100" s="4">
        <v>265215</v>
      </c>
      <c r="F100" s="4">
        <f>265200+15</f>
        <v>265215</v>
      </c>
      <c r="G100" s="4">
        <f t="shared" si="17"/>
        <v>0</v>
      </c>
      <c r="H100" s="4">
        <v>265215</v>
      </c>
      <c r="I100" s="4">
        <v>138729.24</v>
      </c>
      <c r="J100" s="4"/>
      <c r="K100" s="4"/>
      <c r="L100" s="4"/>
      <c r="M100" s="4"/>
      <c r="N100" s="15" t="e">
        <f>N101+N102+N103+N106+N107+N108+N112+N113+N114+N115+N116+N117+N118+N119+N120+N121+N122+N123+N126+N129+N124+#REF!+N134+N135+#REF!</f>
        <v>#REF!</v>
      </c>
      <c r="O100" s="15" t="e">
        <f>O101+O102+O103+O106+O107+O108+O112+O113+O114+O115+O116+O117+O118+O119+O120+O121+O122+O123+O126+O129+O124+#REF!+O134+O135+#REF!</f>
        <v>#REF!</v>
      </c>
      <c r="P100" s="15">
        <f>P101+P102+P103+P106+P107+P109+P110+P111+P112+P113+P114+P115+P116+P117+P118+P119+P120+P121+P122+P123+P124+P125+P126+P129+P135+P136</f>
        <v>1450722680.3700006</v>
      </c>
      <c r="Q100" s="15">
        <v>1529996499.7699997</v>
      </c>
      <c r="R100" s="15">
        <v>1529056376.2899997</v>
      </c>
      <c r="S100" s="7">
        <v>-940123.48000001907</v>
      </c>
      <c r="T100" s="43">
        <v>0.99938553880342773</v>
      </c>
      <c r="U100" s="15">
        <f>U101+U102+U103+U106+U107+U109+U110+U111+U112+U113+U114+U115+U116+U117+U118+U119+U120+U121+U122+U123+U124+U125+U126+U129+U135+U136</f>
        <v>1450546436.7100005</v>
      </c>
      <c r="V100" s="44">
        <f t="shared" si="19"/>
        <v>-176243.66000008583</v>
      </c>
      <c r="W100" s="85"/>
      <c r="AB100" s="54"/>
    </row>
    <row r="101" spans="1:28" s="60" customFormat="1" ht="45" customHeight="1">
      <c r="A101" s="54"/>
      <c r="B101" s="51" t="s">
        <v>209</v>
      </c>
      <c r="C101" s="73" t="s">
        <v>131</v>
      </c>
      <c r="D101" s="4">
        <v>883028000</v>
      </c>
      <c r="E101" s="4">
        <v>891544500</v>
      </c>
      <c r="F101" s="4">
        <f>915203495+41399500</f>
        <v>956602995</v>
      </c>
      <c r="G101" s="4">
        <f t="shared" si="17"/>
        <v>65058495</v>
      </c>
      <c r="H101" s="4">
        <v>956602995</v>
      </c>
      <c r="I101" s="4">
        <v>641469000</v>
      </c>
      <c r="J101" s="4"/>
      <c r="K101" s="4"/>
      <c r="L101" s="4"/>
      <c r="M101" s="4"/>
      <c r="N101" s="4">
        <v>265215</v>
      </c>
      <c r="O101" s="4">
        <v>81937.47</v>
      </c>
      <c r="P101" s="4">
        <f>265215+8050</f>
        <v>273265</v>
      </c>
      <c r="Q101" s="4">
        <v>281644</v>
      </c>
      <c r="R101" s="4">
        <v>281644</v>
      </c>
      <c r="S101" s="9">
        <v>0</v>
      </c>
      <c r="T101" s="53">
        <v>1</v>
      </c>
      <c r="U101" s="4">
        <f>265215+8050</f>
        <v>273265</v>
      </c>
      <c r="V101" s="49">
        <f t="shared" si="19"/>
        <v>0</v>
      </c>
      <c r="W101" s="85"/>
      <c r="AB101" s="54"/>
    </row>
    <row r="102" spans="1:28" s="60" customFormat="1" ht="104.25" customHeight="1">
      <c r="A102" s="54"/>
      <c r="B102" s="51" t="s">
        <v>210</v>
      </c>
      <c r="C102" s="73" t="s">
        <v>187</v>
      </c>
      <c r="D102" s="4">
        <v>53099000</v>
      </c>
      <c r="E102" s="4">
        <v>53747200</v>
      </c>
      <c r="F102" s="4">
        <v>53984320</v>
      </c>
      <c r="G102" s="4">
        <f t="shared" si="17"/>
        <v>237120</v>
      </c>
      <c r="H102" s="4">
        <v>53984320</v>
      </c>
      <c r="I102" s="4">
        <v>40117200</v>
      </c>
      <c r="J102" s="4"/>
      <c r="K102" s="4"/>
      <c r="L102" s="4"/>
      <c r="M102" s="4"/>
      <c r="N102" s="4">
        <v>919527600</v>
      </c>
      <c r="O102" s="4">
        <v>595180300</v>
      </c>
      <c r="P102" s="4">
        <f>1107419900+10357300-21379900</f>
        <v>1096397300</v>
      </c>
      <c r="Q102" s="4">
        <v>1168028500</v>
      </c>
      <c r="R102" s="4">
        <v>1168028500</v>
      </c>
      <c r="S102" s="9">
        <v>0</v>
      </c>
      <c r="T102" s="53">
        <v>1</v>
      </c>
      <c r="U102" s="4">
        <f>1107419900+10357300-21379900</f>
        <v>1096397300</v>
      </c>
      <c r="V102" s="49">
        <f t="shared" si="19"/>
        <v>0</v>
      </c>
      <c r="W102" s="85"/>
      <c r="AB102" s="54"/>
    </row>
    <row r="103" spans="1:28" s="60" customFormat="1" ht="86.25" customHeight="1">
      <c r="A103" s="54"/>
      <c r="B103" s="51" t="s">
        <v>211</v>
      </c>
      <c r="C103" s="73" t="s">
        <v>188</v>
      </c>
      <c r="D103" s="4"/>
      <c r="E103" s="4">
        <v>550000</v>
      </c>
      <c r="F103" s="4"/>
      <c r="G103" s="4">
        <f t="shared" si="17"/>
        <v>-550000</v>
      </c>
      <c r="H103" s="4"/>
      <c r="I103" s="4"/>
      <c r="J103" s="4"/>
      <c r="K103" s="4"/>
      <c r="L103" s="4"/>
      <c r="M103" s="4"/>
      <c r="N103" s="4">
        <v>60905100</v>
      </c>
      <c r="O103" s="4">
        <v>35514750</v>
      </c>
      <c r="P103" s="4">
        <f>67100000+1308800</f>
        <v>68408800</v>
      </c>
      <c r="Q103" s="4">
        <v>70983907</v>
      </c>
      <c r="R103" s="4">
        <v>70983907</v>
      </c>
      <c r="S103" s="9">
        <v>0</v>
      </c>
      <c r="T103" s="53">
        <v>1</v>
      </c>
      <c r="U103" s="4">
        <f>67100000+1308800</f>
        <v>68408800</v>
      </c>
      <c r="V103" s="49">
        <f t="shared" si="19"/>
        <v>0</v>
      </c>
      <c r="W103" s="85"/>
      <c r="AB103" s="54"/>
    </row>
    <row r="104" spans="1:28" s="60" customFormat="1" ht="49.5" hidden="1" customHeight="1">
      <c r="A104" s="54"/>
      <c r="B104" s="51" t="s">
        <v>163</v>
      </c>
      <c r="C104" s="26" t="s">
        <v>132</v>
      </c>
      <c r="D104" s="4"/>
      <c r="E104" s="4">
        <v>600000</v>
      </c>
      <c r="F104" s="4"/>
      <c r="G104" s="4">
        <f t="shared" si="17"/>
        <v>-600000</v>
      </c>
      <c r="H104" s="4"/>
      <c r="I104" s="4"/>
      <c r="J104" s="4"/>
      <c r="K104" s="4"/>
      <c r="L104" s="4"/>
      <c r="M104" s="4"/>
      <c r="N104" s="4">
        <f>M104+L104</f>
        <v>0</v>
      </c>
      <c r="O104" s="4"/>
      <c r="P104" s="4">
        <f>O104+N104</f>
        <v>0</v>
      </c>
      <c r="Q104" s="4">
        <v>0</v>
      </c>
      <c r="R104" s="4"/>
      <c r="S104" s="9">
        <v>0</v>
      </c>
      <c r="T104" s="53" t="e">
        <v>#DIV/0!</v>
      </c>
      <c r="U104" s="4" t="e">
        <f>#REF!+#REF!</f>
        <v>#REF!</v>
      </c>
      <c r="V104" s="49" t="e">
        <f t="shared" si="19"/>
        <v>#REF!</v>
      </c>
      <c r="W104" s="85"/>
      <c r="AB104" s="54"/>
    </row>
    <row r="105" spans="1:28" s="60" customFormat="1" ht="42.75" hidden="1">
      <c r="A105" s="54"/>
      <c r="B105" s="51" t="s">
        <v>164</v>
      </c>
      <c r="C105" s="73" t="s">
        <v>133</v>
      </c>
      <c r="D105" s="4">
        <v>7337000</v>
      </c>
      <c r="E105" s="4">
        <v>7323513</v>
      </c>
      <c r="F105" s="4">
        <v>7337000</v>
      </c>
      <c r="G105" s="4">
        <f t="shared" si="17"/>
        <v>13487</v>
      </c>
      <c r="H105" s="4">
        <v>7337000</v>
      </c>
      <c r="I105" s="4">
        <v>4761879.58</v>
      </c>
      <c r="J105" s="4"/>
      <c r="K105" s="4"/>
      <c r="L105" s="4"/>
      <c r="M105" s="4"/>
      <c r="N105" s="4">
        <f>M105+L105</f>
        <v>0</v>
      </c>
      <c r="O105" s="4"/>
      <c r="P105" s="4">
        <f>O105+N105</f>
        <v>0</v>
      </c>
      <c r="Q105" s="4">
        <v>0</v>
      </c>
      <c r="R105" s="4"/>
      <c r="S105" s="9">
        <v>0</v>
      </c>
      <c r="T105" s="53" t="e">
        <v>#DIV/0!</v>
      </c>
      <c r="U105" s="4" t="e">
        <f>#REF!+#REF!</f>
        <v>#REF!</v>
      </c>
      <c r="V105" s="49" t="e">
        <f t="shared" si="19"/>
        <v>#REF!</v>
      </c>
      <c r="W105" s="85"/>
      <c r="AB105" s="54"/>
    </row>
    <row r="106" spans="1:28" s="60" customFormat="1" ht="42.75">
      <c r="A106" s="54"/>
      <c r="B106" s="51" t="s">
        <v>212</v>
      </c>
      <c r="C106" s="73" t="s">
        <v>134</v>
      </c>
      <c r="D106" s="4">
        <v>920000</v>
      </c>
      <c r="E106" s="4">
        <v>880000</v>
      </c>
      <c r="F106" s="4">
        <v>1100000</v>
      </c>
      <c r="G106" s="4">
        <f t="shared" si="17"/>
        <v>220000</v>
      </c>
      <c r="H106" s="4">
        <v>950000</v>
      </c>
      <c r="I106" s="4">
        <v>550000</v>
      </c>
      <c r="J106" s="4"/>
      <c r="K106" s="4"/>
      <c r="L106" s="4"/>
      <c r="M106" s="4"/>
      <c r="N106" s="4">
        <v>7337000</v>
      </c>
      <c r="O106" s="4">
        <v>2666962.2599999998</v>
      </c>
      <c r="P106" s="4">
        <f>6907400+229325.17</f>
        <v>7136725.1699999999</v>
      </c>
      <c r="Q106" s="4">
        <v>7465304.6899999995</v>
      </c>
      <c r="R106" s="4">
        <v>7465304.6900000004</v>
      </c>
      <c r="S106" s="9">
        <v>0</v>
      </c>
      <c r="T106" s="53">
        <v>1.0000000000000002</v>
      </c>
      <c r="U106" s="4">
        <f>6907400+229325.17</f>
        <v>7136725.1699999999</v>
      </c>
      <c r="V106" s="49">
        <f t="shared" si="19"/>
        <v>0</v>
      </c>
      <c r="W106" s="85"/>
      <c r="AB106" s="54"/>
    </row>
    <row r="107" spans="1:28" s="60" customFormat="1" ht="28.5">
      <c r="A107" s="54"/>
      <c r="B107" s="51" t="s">
        <v>213</v>
      </c>
      <c r="C107" s="73" t="s">
        <v>135</v>
      </c>
      <c r="D107" s="4">
        <v>789300</v>
      </c>
      <c r="E107" s="4"/>
      <c r="F107" s="4">
        <v>84197.28</v>
      </c>
      <c r="G107" s="4">
        <f t="shared" si="17"/>
        <v>84197.28</v>
      </c>
      <c r="H107" s="4"/>
      <c r="I107" s="4"/>
      <c r="J107" s="4"/>
      <c r="K107" s="4"/>
      <c r="L107" s="4"/>
      <c r="M107" s="4"/>
      <c r="N107" s="4">
        <v>1100000</v>
      </c>
      <c r="O107" s="4"/>
      <c r="P107" s="4">
        <v>1120000</v>
      </c>
      <c r="Q107" s="4">
        <v>1080000</v>
      </c>
      <c r="R107" s="4">
        <v>1040000</v>
      </c>
      <c r="S107" s="9">
        <v>-40000</v>
      </c>
      <c r="T107" s="53">
        <v>0.96296296296296291</v>
      </c>
      <c r="U107" s="4">
        <v>1120000</v>
      </c>
      <c r="V107" s="49">
        <f t="shared" si="19"/>
        <v>0</v>
      </c>
      <c r="W107" s="85"/>
      <c r="AB107" s="54"/>
    </row>
    <row r="108" spans="1:28" s="60" customFormat="1" ht="28.5" hidden="1">
      <c r="A108" s="54"/>
      <c r="B108" s="51" t="s">
        <v>214</v>
      </c>
      <c r="C108" s="73" t="s">
        <v>136</v>
      </c>
      <c r="D108" s="4">
        <f>38400</f>
        <v>38400</v>
      </c>
      <c r="E108" s="4">
        <v>17080</v>
      </c>
      <c r="F108" s="4">
        <v>38030</v>
      </c>
      <c r="G108" s="4">
        <f t="shared" si="17"/>
        <v>20950</v>
      </c>
      <c r="H108" s="4"/>
      <c r="I108" s="4">
        <v>38000</v>
      </c>
      <c r="J108" s="4"/>
      <c r="K108" s="4"/>
      <c r="L108" s="4"/>
      <c r="M108" s="4"/>
      <c r="N108" s="4">
        <v>140400</v>
      </c>
      <c r="O108" s="4"/>
      <c r="P108" s="4"/>
      <c r="Q108" s="4"/>
      <c r="R108" s="4"/>
      <c r="S108" s="9">
        <v>0</v>
      </c>
      <c r="T108" s="53" t="e">
        <v>#DIV/0!</v>
      </c>
      <c r="U108" s="4"/>
      <c r="V108" s="49">
        <f t="shared" si="19"/>
        <v>0</v>
      </c>
      <c r="W108" s="85"/>
      <c r="AB108" s="54"/>
    </row>
    <row r="109" spans="1:28" s="60" customFormat="1" ht="28.5" hidden="1">
      <c r="A109" s="54"/>
      <c r="B109" s="51" t="s">
        <v>257</v>
      </c>
      <c r="C109" s="73" t="s">
        <v>137</v>
      </c>
      <c r="D109" s="4">
        <v>5100</v>
      </c>
      <c r="E109" s="4">
        <v>5100</v>
      </c>
      <c r="F109" s="4">
        <v>5107.3999999999996</v>
      </c>
      <c r="G109" s="4">
        <f t="shared" si="17"/>
        <v>7.3999999999996362</v>
      </c>
      <c r="H109" s="4"/>
      <c r="I109" s="4"/>
      <c r="J109" s="4"/>
      <c r="K109" s="4"/>
      <c r="L109" s="4"/>
      <c r="M109" s="4"/>
      <c r="N109" s="4"/>
      <c r="O109" s="4"/>
      <c r="P109" s="4">
        <v>0</v>
      </c>
      <c r="Q109" s="4">
        <v>0</v>
      </c>
      <c r="R109" s="4"/>
      <c r="S109" s="9">
        <v>0</v>
      </c>
      <c r="T109" s="53" t="e">
        <v>#DIV/0!</v>
      </c>
      <c r="U109" s="4">
        <v>0</v>
      </c>
      <c r="V109" s="49">
        <f t="shared" si="19"/>
        <v>0</v>
      </c>
      <c r="W109" s="85"/>
      <c r="AB109" s="54"/>
    </row>
    <row r="110" spans="1:28" s="60" customFormat="1" ht="28.5">
      <c r="A110" s="54"/>
      <c r="B110" s="51" t="s">
        <v>215</v>
      </c>
      <c r="C110" s="73" t="s">
        <v>138</v>
      </c>
      <c r="D110" s="4">
        <v>33700</v>
      </c>
      <c r="E110" s="4">
        <v>34800</v>
      </c>
      <c r="F110" s="4">
        <v>1871.9</v>
      </c>
      <c r="G110" s="4">
        <f t="shared" si="17"/>
        <v>-32928.1</v>
      </c>
      <c r="H110" s="4">
        <v>1871.9</v>
      </c>
      <c r="I110" s="4"/>
      <c r="J110" s="4"/>
      <c r="K110" s="4"/>
      <c r="L110" s="4"/>
      <c r="M110" s="4"/>
      <c r="N110" s="4">
        <f>M110+L110</f>
        <v>0</v>
      </c>
      <c r="O110" s="4"/>
      <c r="P110" s="4">
        <v>5364.7</v>
      </c>
      <c r="Q110" s="4">
        <v>14631</v>
      </c>
      <c r="R110" s="4">
        <v>4877</v>
      </c>
      <c r="S110" s="9">
        <v>-9754</v>
      </c>
      <c r="T110" s="53">
        <v>0.33333333333333331</v>
      </c>
      <c r="U110" s="4">
        <v>5364.7</v>
      </c>
      <c r="V110" s="49">
        <f t="shared" si="19"/>
        <v>0</v>
      </c>
      <c r="W110" s="85"/>
      <c r="AB110" s="54"/>
    </row>
    <row r="111" spans="1:28" s="60" customFormat="1" ht="28.5">
      <c r="A111" s="54"/>
      <c r="B111" s="51" t="s">
        <v>216</v>
      </c>
      <c r="C111" s="73" t="s">
        <v>139</v>
      </c>
      <c r="D111" s="4">
        <v>1500900</v>
      </c>
      <c r="E111" s="4">
        <v>1452568.82</v>
      </c>
      <c r="F111" s="4">
        <v>1500900</v>
      </c>
      <c r="G111" s="4">
        <f t="shared" si="17"/>
        <v>48331.179999999935</v>
      </c>
      <c r="H111" s="4">
        <v>1500900</v>
      </c>
      <c r="I111" s="4">
        <v>845392.2</v>
      </c>
      <c r="J111" s="4"/>
      <c r="K111" s="4"/>
      <c r="L111" s="4"/>
      <c r="M111" s="4"/>
      <c r="N111" s="4">
        <f>M111+L111</f>
        <v>0</v>
      </c>
      <c r="O111" s="4"/>
      <c r="P111" s="4">
        <v>44509.31</v>
      </c>
      <c r="Q111" s="4">
        <v>33804.539999999994</v>
      </c>
      <c r="R111" s="4">
        <v>33804</v>
      </c>
      <c r="S111" s="9">
        <v>-0.53999999999359716</v>
      </c>
      <c r="T111" s="53">
        <v>0.99998402581428436</v>
      </c>
      <c r="U111" s="4">
        <v>44509.31</v>
      </c>
      <c r="V111" s="49">
        <f t="shared" si="19"/>
        <v>0</v>
      </c>
      <c r="W111" s="85"/>
      <c r="AB111" s="54"/>
    </row>
    <row r="112" spans="1:28" s="60" customFormat="1" ht="45" customHeight="1">
      <c r="A112" s="54"/>
      <c r="B112" s="51" t="s">
        <v>217</v>
      </c>
      <c r="C112" s="73" t="s">
        <v>140</v>
      </c>
      <c r="D112" s="4">
        <v>2911000</v>
      </c>
      <c r="E112" s="4">
        <v>2863291.13</v>
      </c>
      <c r="F112" s="4">
        <v>2911000</v>
      </c>
      <c r="G112" s="4">
        <f t="shared" si="17"/>
        <v>47708.870000000112</v>
      </c>
      <c r="H112" s="4">
        <v>2911000</v>
      </c>
      <c r="I112" s="4">
        <v>1801099.08</v>
      </c>
      <c r="J112" s="4"/>
      <c r="K112" s="4"/>
      <c r="L112" s="4"/>
      <c r="M112" s="4"/>
      <c r="N112" s="4">
        <v>1500900</v>
      </c>
      <c r="O112" s="4">
        <v>434948.55</v>
      </c>
      <c r="P112" s="4">
        <f>1500900-625196</f>
        <v>875704</v>
      </c>
      <c r="Q112" s="4">
        <v>686720.17</v>
      </c>
      <c r="R112" s="4">
        <v>686720.17</v>
      </c>
      <c r="S112" s="9">
        <v>0</v>
      </c>
      <c r="T112" s="53">
        <v>1</v>
      </c>
      <c r="U112" s="4">
        <v>1500900</v>
      </c>
      <c r="V112" s="49">
        <f t="shared" si="19"/>
        <v>625196</v>
      </c>
      <c r="W112" s="85"/>
      <c r="AB112" s="54"/>
    </row>
    <row r="113" spans="1:28" s="60" customFormat="1" ht="61.5" customHeight="1">
      <c r="A113" s="54"/>
      <c r="B113" s="51" t="s">
        <v>218</v>
      </c>
      <c r="C113" s="26" t="s">
        <v>141</v>
      </c>
      <c r="D113" s="4">
        <f>55700</f>
        <v>55700</v>
      </c>
      <c r="E113" s="4">
        <v>60900</v>
      </c>
      <c r="F113" s="4">
        <f>55700-10</f>
        <v>55690</v>
      </c>
      <c r="G113" s="4">
        <f t="shared" si="17"/>
        <v>-5210</v>
      </c>
      <c r="H113" s="4">
        <v>55690</v>
      </c>
      <c r="I113" s="4">
        <v>55690</v>
      </c>
      <c r="J113" s="4"/>
      <c r="K113" s="4"/>
      <c r="L113" s="4"/>
      <c r="M113" s="4"/>
      <c r="N113" s="4">
        <v>2959000</v>
      </c>
      <c r="O113" s="4">
        <v>1205791.17</v>
      </c>
      <c r="P113" s="4">
        <f>3071797+759714.66</f>
        <v>3831511.66</v>
      </c>
      <c r="Q113" s="4">
        <v>4189700</v>
      </c>
      <c r="R113" s="4">
        <v>4189700</v>
      </c>
      <c r="S113" s="9">
        <v>0</v>
      </c>
      <c r="T113" s="53">
        <v>1</v>
      </c>
      <c r="U113" s="4">
        <v>3071797</v>
      </c>
      <c r="V113" s="49">
        <f t="shared" si="19"/>
        <v>-759714.66000000015</v>
      </c>
      <c r="W113" s="85"/>
      <c r="AB113" s="54"/>
    </row>
    <row r="114" spans="1:28" s="60" customFormat="1" ht="91.5" customHeight="1">
      <c r="A114" s="54"/>
      <c r="B114" s="51" t="s">
        <v>219</v>
      </c>
      <c r="C114" s="73" t="s">
        <v>142</v>
      </c>
      <c r="D114" s="4">
        <v>120684000</v>
      </c>
      <c r="E114" s="4">
        <v>109136000</v>
      </c>
      <c r="F114" s="4">
        <v>120684000</v>
      </c>
      <c r="G114" s="4">
        <f t="shared" si="17"/>
        <v>11548000</v>
      </c>
      <c r="H114" s="4">
        <v>120684000</v>
      </c>
      <c r="I114" s="4">
        <v>85600000</v>
      </c>
      <c r="J114" s="4"/>
      <c r="K114" s="4"/>
      <c r="L114" s="4"/>
      <c r="M114" s="4"/>
      <c r="N114" s="4">
        <v>55690</v>
      </c>
      <c r="O114" s="4">
        <v>55690</v>
      </c>
      <c r="P114" s="4">
        <v>32341</v>
      </c>
      <c r="Q114" s="4">
        <v>32341</v>
      </c>
      <c r="R114" s="4">
        <v>32341</v>
      </c>
      <c r="S114" s="9">
        <v>0</v>
      </c>
      <c r="T114" s="53">
        <v>1</v>
      </c>
      <c r="U114" s="4">
        <v>32341</v>
      </c>
      <c r="V114" s="49">
        <f t="shared" si="19"/>
        <v>0</v>
      </c>
      <c r="W114" s="85"/>
      <c r="AB114" s="54"/>
    </row>
    <row r="115" spans="1:28" s="60" customFormat="1" ht="57">
      <c r="A115" s="54"/>
      <c r="B115" s="51" t="s">
        <v>220</v>
      </c>
      <c r="C115" s="73" t="s">
        <v>143</v>
      </c>
      <c r="D115" s="4">
        <v>110000</v>
      </c>
      <c r="E115" s="4">
        <v>110000</v>
      </c>
      <c r="F115" s="4">
        <v>110000</v>
      </c>
      <c r="G115" s="4">
        <f t="shared" si="17"/>
        <v>0</v>
      </c>
      <c r="H115" s="4">
        <v>110000</v>
      </c>
      <c r="I115" s="4">
        <v>43719.75</v>
      </c>
      <c r="J115" s="4"/>
      <c r="K115" s="4"/>
      <c r="L115" s="4"/>
      <c r="M115" s="4"/>
      <c r="N115" s="4">
        <v>108714000</v>
      </c>
      <c r="O115" s="4">
        <v>48400000</v>
      </c>
      <c r="P115" s="4">
        <v>118470000</v>
      </c>
      <c r="Q115" s="4">
        <v>118470000</v>
      </c>
      <c r="R115" s="4">
        <v>118470000</v>
      </c>
      <c r="S115" s="9">
        <v>0</v>
      </c>
      <c r="T115" s="53">
        <v>1</v>
      </c>
      <c r="U115" s="4">
        <v>118470000</v>
      </c>
      <c r="V115" s="49">
        <f t="shared" si="19"/>
        <v>0</v>
      </c>
      <c r="W115" s="85"/>
      <c r="AB115" s="54"/>
    </row>
    <row r="116" spans="1:28" s="60" customFormat="1" ht="71.25">
      <c r="A116" s="54"/>
      <c r="B116" s="51" t="s">
        <v>221</v>
      </c>
      <c r="C116" s="73" t="s">
        <v>144</v>
      </c>
      <c r="D116" s="4">
        <v>2031500</v>
      </c>
      <c r="E116" s="4">
        <v>2030676.5</v>
      </c>
      <c r="F116" s="4">
        <v>2031500</v>
      </c>
      <c r="G116" s="4">
        <f t="shared" si="17"/>
        <v>823.5</v>
      </c>
      <c r="H116" s="4">
        <v>1989837.82</v>
      </c>
      <c r="I116" s="4">
        <v>1227463.8799999999</v>
      </c>
      <c r="J116" s="4"/>
      <c r="K116" s="4"/>
      <c r="L116" s="4"/>
      <c r="M116" s="4"/>
      <c r="N116" s="4">
        <v>108500</v>
      </c>
      <c r="O116" s="4">
        <v>35325.910000000003</v>
      </c>
      <c r="P116" s="4">
        <f>102000+3217.64</f>
        <v>105217.64</v>
      </c>
      <c r="Q116" s="4">
        <v>123831.41</v>
      </c>
      <c r="R116" s="4">
        <v>123831.41</v>
      </c>
      <c r="S116" s="9">
        <v>0</v>
      </c>
      <c r="T116" s="53">
        <v>1</v>
      </c>
      <c r="U116" s="4">
        <f>102000+3217.64</f>
        <v>105217.64</v>
      </c>
      <c r="V116" s="49">
        <f t="shared" si="19"/>
        <v>0</v>
      </c>
      <c r="W116" s="85"/>
      <c r="AB116" s="54"/>
    </row>
    <row r="117" spans="1:28" s="60" customFormat="1" ht="28.5">
      <c r="A117" s="54"/>
      <c r="B117" s="51" t="s">
        <v>222</v>
      </c>
      <c r="C117" s="26" t="s">
        <v>145</v>
      </c>
      <c r="D117" s="4">
        <v>3343100</v>
      </c>
      <c r="E117" s="4">
        <v>3342500</v>
      </c>
      <c r="F117" s="4">
        <v>3343100</v>
      </c>
      <c r="G117" s="4">
        <f t="shared" si="17"/>
        <v>600</v>
      </c>
      <c r="H117" s="4">
        <v>3343100</v>
      </c>
      <c r="I117" s="4">
        <v>2022919</v>
      </c>
      <c r="J117" s="4"/>
      <c r="K117" s="4"/>
      <c r="L117" s="4"/>
      <c r="M117" s="4"/>
      <c r="N117" s="4">
        <v>2031500</v>
      </c>
      <c r="O117" s="4">
        <v>662309.53</v>
      </c>
      <c r="P117" s="4">
        <f>1910700+62080.01</f>
        <v>1972780.01</v>
      </c>
      <c r="Q117" s="4">
        <v>2044119.86</v>
      </c>
      <c r="R117" s="4">
        <v>2044119.86</v>
      </c>
      <c r="S117" s="9">
        <v>0</v>
      </c>
      <c r="T117" s="53">
        <v>1</v>
      </c>
      <c r="U117" s="4">
        <f>1910700+62080.01</f>
        <v>1972780.01</v>
      </c>
      <c r="V117" s="49">
        <f t="shared" si="19"/>
        <v>0</v>
      </c>
      <c r="W117" s="85"/>
      <c r="AB117" s="54"/>
    </row>
    <row r="118" spans="1:28" s="60" customFormat="1" ht="32.25" customHeight="1">
      <c r="A118" s="54"/>
      <c r="B118" s="51" t="s">
        <v>223</v>
      </c>
      <c r="C118" s="73" t="s">
        <v>146</v>
      </c>
      <c r="D118" s="4">
        <v>3101200</v>
      </c>
      <c r="E118" s="4">
        <v>3060763.59</v>
      </c>
      <c r="F118" s="4">
        <v>4231400</v>
      </c>
      <c r="G118" s="4">
        <f t="shared" si="17"/>
        <v>1170636.4100000001</v>
      </c>
      <c r="H118" s="4">
        <v>4231400</v>
      </c>
      <c r="I118" s="4">
        <v>2177440.9700000002</v>
      </c>
      <c r="J118" s="4"/>
      <c r="K118" s="4"/>
      <c r="L118" s="4"/>
      <c r="M118" s="4"/>
      <c r="N118" s="4">
        <v>3343100</v>
      </c>
      <c r="O118" s="4">
        <v>1226718.83</v>
      </c>
      <c r="P118" s="4">
        <f>3176000+100275.16</f>
        <v>3276275.16</v>
      </c>
      <c r="Q118" s="4">
        <v>3413740.3600000003</v>
      </c>
      <c r="R118" s="4">
        <v>3413740.36</v>
      </c>
      <c r="S118" s="9">
        <v>0</v>
      </c>
      <c r="T118" s="53">
        <v>0.99999999999999989</v>
      </c>
      <c r="U118" s="4">
        <f>3176000+100275.16</f>
        <v>3276275.16</v>
      </c>
      <c r="V118" s="49">
        <f t="shared" si="19"/>
        <v>0</v>
      </c>
      <c r="W118" s="85"/>
      <c r="AB118" s="54"/>
    </row>
    <row r="119" spans="1:28" s="60" customFormat="1" ht="42.75">
      <c r="A119" s="54"/>
      <c r="B119" s="51" t="s">
        <v>224</v>
      </c>
      <c r="C119" s="73" t="s">
        <v>147</v>
      </c>
      <c r="D119" s="4">
        <v>1940256</v>
      </c>
      <c r="E119" s="4">
        <v>1969056</v>
      </c>
      <c r="F119" s="4">
        <v>1940256</v>
      </c>
      <c r="G119" s="4">
        <f t="shared" si="17"/>
        <v>-28800</v>
      </c>
      <c r="H119" s="4">
        <v>1940256</v>
      </c>
      <c r="I119" s="4">
        <v>1231410.26</v>
      </c>
      <c r="J119" s="4"/>
      <c r="K119" s="4"/>
      <c r="L119" s="4"/>
      <c r="M119" s="4"/>
      <c r="N119" s="4">
        <v>4798600</v>
      </c>
      <c r="O119" s="4">
        <v>1651123.77</v>
      </c>
      <c r="P119" s="4">
        <f>4558600+136417.38</f>
        <v>4695017.38</v>
      </c>
      <c r="Q119" s="4">
        <v>5023479.72</v>
      </c>
      <c r="R119" s="4">
        <v>5023479.72</v>
      </c>
      <c r="S119" s="9">
        <v>0</v>
      </c>
      <c r="T119" s="53">
        <v>1</v>
      </c>
      <c r="U119" s="4">
        <f>4558600+136417.38</f>
        <v>4695017.38</v>
      </c>
      <c r="V119" s="49">
        <f t="shared" si="19"/>
        <v>0</v>
      </c>
      <c r="W119" s="85"/>
      <c r="AB119" s="54"/>
    </row>
    <row r="120" spans="1:28" s="60" customFormat="1" ht="33.75" customHeight="1">
      <c r="A120" s="54"/>
      <c r="B120" s="51" t="s">
        <v>225</v>
      </c>
      <c r="C120" s="73" t="s">
        <v>148</v>
      </c>
      <c r="D120" s="4">
        <v>1263000</v>
      </c>
      <c r="E120" s="4">
        <v>1279000</v>
      </c>
      <c r="F120" s="4">
        <v>1263000</v>
      </c>
      <c r="G120" s="4">
        <f t="shared" si="17"/>
        <v>-16000</v>
      </c>
      <c r="H120" s="4">
        <v>1263000</v>
      </c>
      <c r="I120" s="4">
        <v>732437</v>
      </c>
      <c r="J120" s="4"/>
      <c r="K120" s="4"/>
      <c r="L120" s="4"/>
      <c r="M120" s="4"/>
      <c r="N120" s="4">
        <v>1898780</v>
      </c>
      <c r="O120" s="4">
        <v>746435.69</v>
      </c>
      <c r="P120" s="4">
        <f>1786773.2+56362</f>
        <v>1843135.2</v>
      </c>
      <c r="Q120" s="4">
        <v>1901947.8399999999</v>
      </c>
      <c r="R120" s="4">
        <v>1837507.84</v>
      </c>
      <c r="S120" s="9">
        <v>-64439.999999999767</v>
      </c>
      <c r="T120" s="53">
        <v>0.96611894467095383</v>
      </c>
      <c r="U120" s="4">
        <f>1786773.2+56362</f>
        <v>1843135.2</v>
      </c>
      <c r="V120" s="49">
        <f t="shared" si="19"/>
        <v>0</v>
      </c>
      <c r="W120" s="85"/>
      <c r="AB120" s="54"/>
    </row>
    <row r="121" spans="1:28" s="60" customFormat="1" ht="61.5" customHeight="1">
      <c r="A121" s="54"/>
      <c r="B121" s="51" t="s">
        <v>226</v>
      </c>
      <c r="C121" s="73" t="s">
        <v>149</v>
      </c>
      <c r="D121" s="4">
        <v>69182200</v>
      </c>
      <c r="E121" s="4">
        <v>69182200</v>
      </c>
      <c r="F121" s="4">
        <v>74103460</v>
      </c>
      <c r="G121" s="4">
        <f t="shared" si="17"/>
        <v>4921260</v>
      </c>
      <c r="H121" s="4">
        <v>74103460</v>
      </c>
      <c r="I121" s="4">
        <v>48856600</v>
      </c>
      <c r="J121" s="4"/>
      <c r="K121" s="4"/>
      <c r="L121" s="4"/>
      <c r="M121" s="4"/>
      <c r="N121" s="4">
        <v>1236000</v>
      </c>
      <c r="O121" s="4">
        <v>574359.03</v>
      </c>
      <c r="P121" s="4">
        <f>1236000+41725</f>
        <v>1277725</v>
      </c>
      <c r="Q121" s="4">
        <v>1277725</v>
      </c>
      <c r="R121" s="4">
        <v>1277725</v>
      </c>
      <c r="S121" s="9">
        <v>0</v>
      </c>
      <c r="T121" s="53">
        <v>1</v>
      </c>
      <c r="U121" s="4">
        <v>1236000</v>
      </c>
      <c r="V121" s="49">
        <f t="shared" si="19"/>
        <v>-41725</v>
      </c>
      <c r="W121" s="85"/>
      <c r="AB121" s="54"/>
    </row>
    <row r="122" spans="1:28" s="60" customFormat="1" ht="60" customHeight="1">
      <c r="A122" s="54"/>
      <c r="B122" s="51" t="s">
        <v>227</v>
      </c>
      <c r="C122" s="73" t="s">
        <v>189</v>
      </c>
      <c r="D122" s="4">
        <v>4770000</v>
      </c>
      <c r="E122" s="4">
        <v>2715800</v>
      </c>
      <c r="F122" s="4">
        <v>2814300</v>
      </c>
      <c r="G122" s="4">
        <f t="shared" si="17"/>
        <v>98500</v>
      </c>
      <c r="H122" s="4">
        <f>162360+213346</f>
        <v>375706</v>
      </c>
      <c r="I122" s="4">
        <v>162360</v>
      </c>
      <c r="J122" s="4"/>
      <c r="K122" s="4"/>
      <c r="L122" s="4"/>
      <c r="M122" s="4"/>
      <c r="N122" s="4">
        <v>100931100</v>
      </c>
      <c r="O122" s="4">
        <v>41843000</v>
      </c>
      <c r="P122" s="4">
        <f>118849100-115771100</f>
        <v>3078000</v>
      </c>
      <c r="Q122" s="4">
        <v>3078000</v>
      </c>
      <c r="R122" s="4">
        <v>3078000</v>
      </c>
      <c r="S122" s="9">
        <v>0</v>
      </c>
      <c r="T122" s="53">
        <v>1</v>
      </c>
      <c r="U122" s="4">
        <f>118849100-115771100</f>
        <v>3078000</v>
      </c>
      <c r="V122" s="49">
        <f t="shared" si="19"/>
        <v>0</v>
      </c>
      <c r="W122" s="85"/>
      <c r="AB122" s="54"/>
    </row>
    <row r="123" spans="1:28" s="60" customFormat="1" ht="57">
      <c r="A123" s="54"/>
      <c r="B123" s="51" t="s">
        <v>228</v>
      </c>
      <c r="C123" s="73" t="s">
        <v>150</v>
      </c>
      <c r="D123" s="4">
        <v>44536000</v>
      </c>
      <c r="E123" s="4">
        <v>39475392.25</v>
      </c>
      <c r="F123" s="4">
        <v>44536000</v>
      </c>
      <c r="G123" s="4">
        <f t="shared" si="17"/>
        <v>5060607.75</v>
      </c>
      <c r="H123" s="4">
        <v>39521200</v>
      </c>
      <c r="I123" s="4">
        <v>29959332</v>
      </c>
      <c r="J123" s="4"/>
      <c r="K123" s="4"/>
      <c r="L123" s="4"/>
      <c r="M123" s="4"/>
      <c r="N123" s="4">
        <v>2108200</v>
      </c>
      <c r="O123" s="4"/>
      <c r="P123" s="4">
        <f>2108220-708480</f>
        <v>1399740</v>
      </c>
      <c r="Q123" s="4">
        <v>1399740</v>
      </c>
      <c r="R123" s="4">
        <v>1399740</v>
      </c>
      <c r="S123" s="9">
        <v>0</v>
      </c>
      <c r="T123" s="53">
        <v>1</v>
      </c>
      <c r="U123" s="4">
        <f>2108220-708480</f>
        <v>1399740</v>
      </c>
      <c r="V123" s="49">
        <f t="shared" si="19"/>
        <v>0</v>
      </c>
      <c r="W123" s="85"/>
      <c r="AB123" s="54"/>
    </row>
    <row r="124" spans="1:28" s="60" customFormat="1" ht="57">
      <c r="A124" s="54"/>
      <c r="B124" s="51" t="s">
        <v>229</v>
      </c>
      <c r="C124" s="27" t="s">
        <v>190</v>
      </c>
      <c r="D124" s="4">
        <v>11358100</v>
      </c>
      <c r="E124" s="4"/>
      <c r="F124" s="4">
        <v>18284551.640000001</v>
      </c>
      <c r="G124" s="4">
        <f>F124-E124</f>
        <v>18284551.640000001</v>
      </c>
      <c r="H124" s="4">
        <f>2508000+15776551.64</f>
        <v>18284551.640000001</v>
      </c>
      <c r="I124" s="4"/>
      <c r="J124" s="4"/>
      <c r="K124" s="4"/>
      <c r="L124" s="4"/>
      <c r="M124" s="4"/>
      <c r="N124" s="4">
        <v>44989400</v>
      </c>
      <c r="O124" s="4">
        <v>5016000</v>
      </c>
      <c r="P124" s="4">
        <v>59532000</v>
      </c>
      <c r="Q124" s="4">
        <v>64591494</v>
      </c>
      <c r="R124" s="4">
        <v>64591494</v>
      </c>
      <c r="S124" s="9">
        <v>0</v>
      </c>
      <c r="T124" s="53">
        <v>1</v>
      </c>
      <c r="U124" s="4">
        <v>59532000</v>
      </c>
      <c r="V124" s="49">
        <f t="shared" si="19"/>
        <v>0</v>
      </c>
      <c r="W124" s="85"/>
      <c r="AB124" s="54"/>
    </row>
    <row r="125" spans="1:28" s="60" customFormat="1" ht="71.25">
      <c r="A125" s="54"/>
      <c r="B125" s="51" t="s">
        <v>260</v>
      </c>
      <c r="C125" s="27" t="s">
        <v>261</v>
      </c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>
        <f>3931200+-273600+15600-72000</f>
        <v>3601200</v>
      </c>
      <c r="Q125" s="4">
        <v>3392701.36</v>
      </c>
      <c r="R125" s="4">
        <v>3392701.36</v>
      </c>
      <c r="S125" s="9">
        <v>0</v>
      </c>
      <c r="T125" s="53">
        <v>1</v>
      </c>
      <c r="U125" s="4">
        <f>3931200+-273600+15600-72000</f>
        <v>3601200</v>
      </c>
      <c r="V125" s="49">
        <f t="shared" si="19"/>
        <v>0</v>
      </c>
      <c r="W125" s="85"/>
      <c r="AB125" s="54"/>
    </row>
    <row r="126" spans="1:28" s="60" customFormat="1" ht="57">
      <c r="A126" s="54"/>
      <c r="B126" s="51" t="s">
        <v>230</v>
      </c>
      <c r="C126" s="73" t="s">
        <v>202</v>
      </c>
      <c r="D126" s="4"/>
      <c r="E126" s="4"/>
      <c r="F126" s="4"/>
      <c r="G126" s="4">
        <f t="shared" si="17"/>
        <v>0</v>
      </c>
      <c r="H126" s="4"/>
      <c r="I126" s="4"/>
      <c r="J126" s="4"/>
      <c r="K126" s="4"/>
      <c r="L126" s="4"/>
      <c r="M126" s="4"/>
      <c r="N126" s="4">
        <v>44981000</v>
      </c>
      <c r="O126" s="4">
        <v>16797593</v>
      </c>
      <c r="P126" s="4">
        <f>25794000+19426000</f>
        <v>45220000</v>
      </c>
      <c r="Q126" s="4">
        <v>45220000</v>
      </c>
      <c r="R126" s="4">
        <v>45220000</v>
      </c>
      <c r="S126" s="9">
        <v>0</v>
      </c>
      <c r="T126" s="53">
        <v>1</v>
      </c>
      <c r="U126" s="4">
        <f>25794000+19426000</f>
        <v>45220000</v>
      </c>
      <c r="V126" s="49">
        <f t="shared" si="19"/>
        <v>0</v>
      </c>
      <c r="W126" s="85"/>
      <c r="AB126" s="54"/>
    </row>
    <row r="127" spans="1:28" s="60" customFormat="1" ht="57" hidden="1">
      <c r="A127" s="54"/>
      <c r="B127" s="51" t="s">
        <v>110</v>
      </c>
      <c r="C127" s="73" t="s">
        <v>154</v>
      </c>
      <c r="D127" s="4"/>
      <c r="E127" s="4"/>
      <c r="F127" s="4"/>
      <c r="G127" s="4">
        <f t="shared" si="17"/>
        <v>0</v>
      </c>
      <c r="H127" s="4"/>
      <c r="I127" s="4"/>
      <c r="J127" s="4"/>
      <c r="K127" s="4"/>
      <c r="L127" s="4"/>
      <c r="M127" s="4"/>
      <c r="N127" s="4">
        <f>M127+L127</f>
        <v>0</v>
      </c>
      <c r="O127" s="4"/>
      <c r="P127" s="4">
        <f>O127+N127</f>
        <v>0</v>
      </c>
      <c r="Q127" s="4">
        <v>0</v>
      </c>
      <c r="R127" s="4"/>
      <c r="S127" s="9">
        <v>0</v>
      </c>
      <c r="T127" s="53" t="e">
        <v>#DIV/0!</v>
      </c>
      <c r="U127" s="4" t="e">
        <f>#REF!+#REF!</f>
        <v>#REF!</v>
      </c>
      <c r="V127" s="49" t="e">
        <f t="shared" si="19"/>
        <v>#REF!</v>
      </c>
      <c r="W127" s="85"/>
      <c r="AB127" s="54"/>
    </row>
    <row r="128" spans="1:28" s="60" customFormat="1" ht="57" hidden="1">
      <c r="A128" s="54"/>
      <c r="B128" s="51" t="s">
        <v>160</v>
      </c>
      <c r="C128" s="73" t="s">
        <v>161</v>
      </c>
      <c r="D128" s="4"/>
      <c r="E128" s="4"/>
      <c r="F128" s="4"/>
      <c r="G128" s="4">
        <f t="shared" si="17"/>
        <v>0</v>
      </c>
      <c r="H128" s="4"/>
      <c r="I128" s="4"/>
      <c r="J128" s="4"/>
      <c r="K128" s="4"/>
      <c r="L128" s="4"/>
      <c r="M128" s="4"/>
      <c r="N128" s="4">
        <f>M128+L128</f>
        <v>0</v>
      </c>
      <c r="O128" s="4"/>
      <c r="P128" s="4">
        <f>O128+N128</f>
        <v>0</v>
      </c>
      <c r="Q128" s="4">
        <v>0</v>
      </c>
      <c r="R128" s="4"/>
      <c r="S128" s="9">
        <v>0</v>
      </c>
      <c r="T128" s="53" t="e">
        <v>#DIV/0!</v>
      </c>
      <c r="U128" s="4" t="e">
        <f>#REF!+#REF!</f>
        <v>#REF!</v>
      </c>
      <c r="V128" s="49" t="e">
        <f t="shared" si="19"/>
        <v>#REF!</v>
      </c>
      <c r="W128" s="85"/>
      <c r="AB128" s="54"/>
    </row>
    <row r="129" spans="1:28" s="60" customFormat="1" ht="60.75" customHeight="1">
      <c r="A129" s="54"/>
      <c r="B129" s="51" t="s">
        <v>231</v>
      </c>
      <c r="C129" s="26" t="s">
        <v>201</v>
      </c>
      <c r="D129" s="4">
        <v>30158300</v>
      </c>
      <c r="E129" s="4">
        <v>43790797.780000001</v>
      </c>
      <c r="F129" s="4">
        <v>61545700</v>
      </c>
      <c r="G129" s="4">
        <f t="shared" si="17"/>
        <v>17754902.219999999</v>
      </c>
      <c r="H129" s="4">
        <v>61532638.340000004</v>
      </c>
      <c r="I129" s="4">
        <v>30124924.43</v>
      </c>
      <c r="J129" s="4"/>
      <c r="K129" s="4"/>
      <c r="L129" s="4"/>
      <c r="M129" s="4"/>
      <c r="N129" s="4">
        <v>60589700</v>
      </c>
      <c r="O129" s="4">
        <v>21075885.129999999</v>
      </c>
      <c r="P129" s="4">
        <f>60000000-33416000</f>
        <v>26584000</v>
      </c>
      <c r="Q129" s="4">
        <v>26584000</v>
      </c>
      <c r="R129" s="4">
        <v>25763556.859999999</v>
      </c>
      <c r="S129" s="9">
        <v>-820443.1400000006</v>
      </c>
      <c r="T129" s="53">
        <v>0.96913770914835984</v>
      </c>
      <c r="U129" s="4">
        <f>60000000-33416000</f>
        <v>26584000</v>
      </c>
      <c r="V129" s="49">
        <f t="shared" si="19"/>
        <v>0</v>
      </c>
      <c r="W129" s="85"/>
      <c r="AB129" s="54"/>
    </row>
    <row r="130" spans="1:28" s="60" customFormat="1" ht="71.25" hidden="1">
      <c r="A130" s="54"/>
      <c r="B130" s="51" t="s">
        <v>112</v>
      </c>
      <c r="C130" s="26" t="s">
        <v>151</v>
      </c>
      <c r="D130" s="4"/>
      <c r="E130" s="4">
        <v>17769500</v>
      </c>
      <c r="F130" s="4"/>
      <c r="G130" s="4"/>
      <c r="H130" s="4"/>
      <c r="I130" s="4"/>
      <c r="J130" s="4"/>
      <c r="K130" s="4"/>
      <c r="L130" s="4"/>
      <c r="M130" s="4"/>
      <c r="N130" s="4">
        <f>M130+L130</f>
        <v>0</v>
      </c>
      <c r="O130" s="4"/>
      <c r="P130" s="4">
        <f t="shared" ref="P130:Q133" si="20">O130+N130</f>
        <v>0</v>
      </c>
      <c r="Q130" s="4">
        <v>0</v>
      </c>
      <c r="R130" s="4"/>
      <c r="S130" s="9">
        <v>0</v>
      </c>
      <c r="T130" s="53" t="e">
        <v>#DIV/0!</v>
      </c>
      <c r="U130" s="4" t="e">
        <f>#REF!+#REF!</f>
        <v>#REF!</v>
      </c>
      <c r="V130" s="49" t="e">
        <f t="shared" si="19"/>
        <v>#REF!</v>
      </c>
      <c r="W130" s="85"/>
      <c r="AB130" s="54"/>
    </row>
    <row r="131" spans="1:28" s="60" customFormat="1" ht="42.75" hidden="1">
      <c r="A131" s="54"/>
      <c r="B131" s="51" t="s">
        <v>111</v>
      </c>
      <c r="C131" s="73" t="s">
        <v>152</v>
      </c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>
        <f>M131+L131</f>
        <v>0</v>
      </c>
      <c r="O131" s="4"/>
      <c r="P131" s="4">
        <f t="shared" si="20"/>
        <v>0</v>
      </c>
      <c r="Q131" s="4">
        <v>0</v>
      </c>
      <c r="R131" s="4"/>
      <c r="S131" s="9">
        <v>0</v>
      </c>
      <c r="T131" s="53" t="e">
        <v>#DIV/0!</v>
      </c>
      <c r="U131" s="4" t="e">
        <f>#REF!+#REF!</f>
        <v>#REF!</v>
      </c>
      <c r="V131" s="49" t="e">
        <f t="shared" si="19"/>
        <v>#REF!</v>
      </c>
      <c r="W131" s="85"/>
      <c r="AB131" s="54"/>
    </row>
    <row r="132" spans="1:28" s="60" customFormat="1" ht="57" hidden="1">
      <c r="A132" s="54"/>
      <c r="B132" s="51" t="s">
        <v>109</v>
      </c>
      <c r="C132" s="73" t="s">
        <v>153</v>
      </c>
      <c r="D132" s="4"/>
      <c r="E132" s="4">
        <v>71600</v>
      </c>
      <c r="F132" s="4"/>
      <c r="G132" s="4"/>
      <c r="H132" s="4"/>
      <c r="I132" s="4"/>
      <c r="J132" s="4"/>
      <c r="K132" s="4"/>
      <c r="L132" s="4"/>
      <c r="M132" s="4"/>
      <c r="N132" s="4">
        <f>M132+L132</f>
        <v>0</v>
      </c>
      <c r="O132" s="4"/>
      <c r="P132" s="4">
        <f t="shared" si="20"/>
        <v>0</v>
      </c>
      <c r="Q132" s="4">
        <v>0</v>
      </c>
      <c r="R132" s="4"/>
      <c r="S132" s="9">
        <v>0</v>
      </c>
      <c r="T132" s="53" t="e">
        <v>#DIV/0!</v>
      </c>
      <c r="U132" s="4" t="e">
        <f>#REF!+#REF!</f>
        <v>#REF!</v>
      </c>
      <c r="V132" s="49" t="e">
        <f t="shared" si="19"/>
        <v>#REF!</v>
      </c>
      <c r="W132" s="85"/>
      <c r="AB132" s="54"/>
    </row>
    <row r="133" spans="1:28" s="60" customFormat="1" ht="57" hidden="1">
      <c r="A133" s="54"/>
      <c r="B133" s="51" t="s">
        <v>110</v>
      </c>
      <c r="C133" s="73" t="s">
        <v>154</v>
      </c>
      <c r="D133" s="4"/>
      <c r="E133" s="4">
        <v>943800</v>
      </c>
      <c r="F133" s="4"/>
      <c r="G133" s="4"/>
      <c r="H133" s="4"/>
      <c r="I133" s="4"/>
      <c r="J133" s="4"/>
      <c r="K133" s="4"/>
      <c r="L133" s="4"/>
      <c r="M133" s="4"/>
      <c r="N133" s="4">
        <f>M133+L133</f>
        <v>0</v>
      </c>
      <c r="O133" s="4"/>
      <c r="P133" s="4">
        <f t="shared" si="20"/>
        <v>0</v>
      </c>
      <c r="Q133" s="4">
        <v>0</v>
      </c>
      <c r="R133" s="4"/>
      <c r="S133" s="9">
        <v>0</v>
      </c>
      <c r="T133" s="53" t="e">
        <v>#DIV/0!</v>
      </c>
      <c r="U133" s="4" t="e">
        <f>#REF!+#REF!</f>
        <v>#REF!</v>
      </c>
      <c r="V133" s="49" t="e">
        <f t="shared" si="19"/>
        <v>#REF!</v>
      </c>
      <c r="W133" s="85"/>
      <c r="AB133" s="54"/>
    </row>
    <row r="134" spans="1:28" s="60" customFormat="1" ht="57" hidden="1">
      <c r="A134" s="54"/>
      <c r="B134" s="51" t="s">
        <v>194</v>
      </c>
      <c r="C134" s="27" t="s">
        <v>191</v>
      </c>
      <c r="D134" s="4"/>
      <c r="E134" s="4"/>
      <c r="F134" s="4"/>
      <c r="G134" s="4">
        <f t="shared" si="17"/>
        <v>0</v>
      </c>
      <c r="H134" s="4"/>
      <c r="I134" s="4"/>
      <c r="J134" s="4"/>
      <c r="K134" s="4"/>
      <c r="L134" s="4"/>
      <c r="M134" s="4"/>
      <c r="N134" s="4">
        <v>124272.1</v>
      </c>
      <c r="O134" s="4">
        <v>124272.1</v>
      </c>
      <c r="P134" s="4"/>
      <c r="Q134" s="4"/>
      <c r="R134" s="4"/>
      <c r="S134" s="9">
        <v>0</v>
      </c>
      <c r="T134" s="53" t="e">
        <v>#DIV/0!</v>
      </c>
      <c r="U134" s="4"/>
      <c r="V134" s="49">
        <f t="shared" si="19"/>
        <v>0</v>
      </c>
      <c r="W134" s="85"/>
      <c r="AB134" s="54"/>
    </row>
    <row r="135" spans="1:28" s="60" customFormat="1" ht="57">
      <c r="A135" s="54"/>
      <c r="B135" s="51" t="s">
        <v>232</v>
      </c>
      <c r="C135" s="26" t="s">
        <v>108</v>
      </c>
      <c r="D135" s="4"/>
      <c r="E135" s="4"/>
      <c r="F135" s="4"/>
      <c r="G135" s="4">
        <f t="shared" si="17"/>
        <v>0</v>
      </c>
      <c r="H135" s="4"/>
      <c r="I135" s="4"/>
      <c r="J135" s="4"/>
      <c r="K135" s="4"/>
      <c r="L135" s="4"/>
      <c r="M135" s="4"/>
      <c r="N135" s="4">
        <v>1200000</v>
      </c>
      <c r="O135" s="4">
        <v>684182.91</v>
      </c>
      <c r="P135" s="4">
        <v>1500000</v>
      </c>
      <c r="Q135" s="4">
        <v>640000</v>
      </c>
      <c r="R135" s="4">
        <v>634514.19999999995</v>
      </c>
      <c r="S135" s="9">
        <v>-5485.8000000000466</v>
      </c>
      <c r="T135" s="53">
        <v>0.99142843749999998</v>
      </c>
      <c r="U135" s="4">
        <v>1500000</v>
      </c>
      <c r="V135" s="49">
        <f t="shared" si="19"/>
        <v>0</v>
      </c>
      <c r="W135" s="85"/>
      <c r="AB135" s="54"/>
    </row>
    <row r="136" spans="1:28" s="60" customFormat="1" ht="42.75">
      <c r="A136" s="54"/>
      <c r="B136" s="51" t="s">
        <v>257</v>
      </c>
      <c r="C136" s="26" t="s">
        <v>288</v>
      </c>
      <c r="D136" s="4"/>
      <c r="E136" s="4"/>
      <c r="F136" s="4"/>
      <c r="G136" s="4">
        <f t="shared" si="17"/>
        <v>0</v>
      </c>
      <c r="H136" s="4"/>
      <c r="I136" s="4"/>
      <c r="J136" s="4"/>
      <c r="K136" s="4"/>
      <c r="L136" s="4"/>
      <c r="M136" s="4"/>
      <c r="N136" s="4">
        <f>M136+L136</f>
        <v>0</v>
      </c>
      <c r="O136" s="4"/>
      <c r="P136" s="4">
        <v>42069.14</v>
      </c>
      <c r="Q136" s="4">
        <v>39167.82</v>
      </c>
      <c r="R136" s="4">
        <v>39167.82</v>
      </c>
      <c r="S136" s="9">
        <v>0</v>
      </c>
      <c r="T136" s="53">
        <v>1</v>
      </c>
      <c r="U136" s="4">
        <v>42069.14</v>
      </c>
      <c r="V136" s="49">
        <f t="shared" si="19"/>
        <v>0</v>
      </c>
      <c r="W136" s="85"/>
      <c r="AB136" s="54"/>
    </row>
    <row r="137" spans="1:28" s="86" customFormat="1" ht="16.5" customHeight="1">
      <c r="A137" s="92"/>
      <c r="B137" s="41" t="s">
        <v>233</v>
      </c>
      <c r="C137" s="90" t="s">
        <v>123</v>
      </c>
      <c r="D137" s="15">
        <f>SUM(D139:D141)</f>
        <v>0</v>
      </c>
      <c r="E137" s="15">
        <f>SUM(E139:E141)</f>
        <v>0</v>
      </c>
      <c r="F137" s="15">
        <f>SUM(F139:F141)</f>
        <v>579504</v>
      </c>
      <c r="G137" s="15">
        <f t="shared" si="17"/>
        <v>579504</v>
      </c>
      <c r="H137" s="15">
        <f>SUM(H139:H141)</f>
        <v>579504</v>
      </c>
      <c r="I137" s="15">
        <f>SUM(I139:I141)</f>
        <v>63000</v>
      </c>
      <c r="J137" s="15"/>
      <c r="K137" s="15"/>
      <c r="L137" s="15"/>
      <c r="M137" s="15"/>
      <c r="N137" s="15">
        <f>N139+N141</f>
        <v>30430482.620000001</v>
      </c>
      <c r="O137" s="15">
        <f>O139+O141</f>
        <v>153982.62</v>
      </c>
      <c r="P137" s="15">
        <f>P138+P139+P141</f>
        <v>190719.74</v>
      </c>
      <c r="Q137" s="15">
        <v>9637879.7400000002</v>
      </c>
      <c r="R137" s="15">
        <v>9637879.7400000002</v>
      </c>
      <c r="S137" s="7">
        <v>0</v>
      </c>
      <c r="T137" s="43">
        <v>1</v>
      </c>
      <c r="U137" s="15">
        <f>U138+U139+U141</f>
        <v>190719.74</v>
      </c>
      <c r="V137" s="44">
        <f t="shared" si="19"/>
        <v>0</v>
      </c>
      <c r="W137" s="85"/>
      <c r="AB137" s="54"/>
    </row>
    <row r="138" spans="1:28" s="60" customFormat="1" ht="62.25" hidden="1" customHeight="1">
      <c r="A138" s="93"/>
      <c r="B138" s="51" t="s">
        <v>234</v>
      </c>
      <c r="C138" s="89" t="s">
        <v>172</v>
      </c>
      <c r="D138" s="4"/>
      <c r="E138" s="4"/>
      <c r="F138" s="4"/>
      <c r="G138" s="4">
        <f>F138-E138</f>
        <v>0</v>
      </c>
      <c r="H138" s="4"/>
      <c r="I138" s="4"/>
      <c r="J138" s="4"/>
      <c r="K138" s="4"/>
      <c r="L138" s="4"/>
      <c r="M138" s="4"/>
      <c r="N138" s="4">
        <f>M138+L138</f>
        <v>0</v>
      </c>
      <c r="O138" s="4"/>
      <c r="P138" s="4"/>
      <c r="Q138" s="4"/>
      <c r="R138" s="4"/>
      <c r="S138" s="7">
        <v>0</v>
      </c>
      <c r="T138" s="43" t="e">
        <v>#DIV/0!</v>
      </c>
      <c r="U138" s="4"/>
      <c r="V138" s="49">
        <f t="shared" si="19"/>
        <v>0</v>
      </c>
      <c r="W138" s="85"/>
      <c r="AB138" s="54"/>
    </row>
    <row r="139" spans="1:28" s="86" customFormat="1" ht="57.75" hidden="1" customHeight="1">
      <c r="A139" s="92"/>
      <c r="B139" s="51" t="s">
        <v>235</v>
      </c>
      <c r="C139" s="89" t="s">
        <v>192</v>
      </c>
      <c r="D139" s="4"/>
      <c r="E139" s="4"/>
      <c r="F139" s="4">
        <f>331692.8+184811.2</f>
        <v>516504</v>
      </c>
      <c r="G139" s="4">
        <f t="shared" si="17"/>
        <v>516504</v>
      </c>
      <c r="H139" s="4">
        <v>516504</v>
      </c>
      <c r="I139" s="4"/>
      <c r="J139" s="4"/>
      <c r="K139" s="4"/>
      <c r="L139" s="4"/>
      <c r="M139" s="4"/>
      <c r="N139" s="4">
        <v>30276500</v>
      </c>
      <c r="O139" s="4"/>
      <c r="P139" s="4"/>
      <c r="Q139" s="4"/>
      <c r="R139" s="4"/>
      <c r="S139" s="7">
        <v>0</v>
      </c>
      <c r="T139" s="43" t="e">
        <v>#DIV/0!</v>
      </c>
      <c r="U139" s="4"/>
      <c r="V139" s="49">
        <f t="shared" si="19"/>
        <v>0</v>
      </c>
      <c r="W139" s="85"/>
      <c r="AB139" s="54"/>
    </row>
    <row r="140" spans="1:28" s="60" customFormat="1" ht="27.75" hidden="1" customHeight="1">
      <c r="A140" s="93"/>
      <c r="B140" s="51" t="s">
        <v>126</v>
      </c>
      <c r="C140" s="89" t="s">
        <v>127</v>
      </c>
      <c r="D140" s="4"/>
      <c r="E140" s="4"/>
      <c r="F140" s="4"/>
      <c r="G140" s="4">
        <f t="shared" si="17"/>
        <v>0</v>
      </c>
      <c r="H140" s="4"/>
      <c r="I140" s="4"/>
      <c r="J140" s="4"/>
      <c r="K140" s="4"/>
      <c r="L140" s="4"/>
      <c r="M140" s="4"/>
      <c r="N140" s="4">
        <f>M140+L140</f>
        <v>0</v>
      </c>
      <c r="O140" s="4"/>
      <c r="P140" s="4"/>
      <c r="Q140" s="4"/>
      <c r="R140" s="4"/>
      <c r="S140" s="7">
        <v>0</v>
      </c>
      <c r="T140" s="43" t="e">
        <v>#DIV/0!</v>
      </c>
      <c r="U140" s="4"/>
      <c r="V140" s="49">
        <f t="shared" si="19"/>
        <v>0</v>
      </c>
      <c r="W140" s="85"/>
      <c r="AB140" s="54"/>
    </row>
    <row r="141" spans="1:28" s="60" customFormat="1" ht="46.5" customHeight="1">
      <c r="A141" s="93"/>
      <c r="B141" s="51" t="s">
        <v>236</v>
      </c>
      <c r="C141" s="89" t="s">
        <v>193</v>
      </c>
      <c r="D141" s="4"/>
      <c r="E141" s="4"/>
      <c r="F141" s="4">
        <v>63000</v>
      </c>
      <c r="G141" s="4">
        <f t="shared" si="17"/>
        <v>63000</v>
      </c>
      <c r="H141" s="4">
        <v>63000</v>
      </c>
      <c r="I141" s="4">
        <v>63000</v>
      </c>
      <c r="J141" s="4"/>
      <c r="K141" s="4"/>
      <c r="L141" s="4"/>
      <c r="M141" s="4"/>
      <c r="N141" s="4">
        <v>153982.62</v>
      </c>
      <c r="O141" s="4">
        <v>153982.62</v>
      </c>
      <c r="P141" s="4">
        <v>190719.74</v>
      </c>
      <c r="Q141" s="4">
        <v>190719.74</v>
      </c>
      <c r="R141" s="4">
        <v>190719.74</v>
      </c>
      <c r="S141" s="9">
        <v>0</v>
      </c>
      <c r="T141" s="53">
        <v>1</v>
      </c>
      <c r="U141" s="4">
        <v>190719.74</v>
      </c>
      <c r="V141" s="49">
        <f t="shared" si="19"/>
        <v>0</v>
      </c>
      <c r="W141" s="85"/>
      <c r="AB141" s="54"/>
    </row>
    <row r="142" spans="1:28" s="60" customFormat="1" ht="28.5">
      <c r="A142" s="93"/>
      <c r="B142" s="51" t="s">
        <v>235</v>
      </c>
      <c r="C142" s="89" t="s">
        <v>287</v>
      </c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>
        <v>9447160</v>
      </c>
      <c r="R142" s="4">
        <v>9447160</v>
      </c>
      <c r="S142" s="9">
        <v>0</v>
      </c>
      <c r="T142" s="53">
        <v>1</v>
      </c>
      <c r="U142" s="4"/>
      <c r="V142" s="49"/>
      <c r="W142" s="85"/>
      <c r="AB142" s="54"/>
    </row>
    <row r="143" spans="1:28" s="86" customFormat="1" ht="33" customHeight="1">
      <c r="A143" s="92"/>
      <c r="B143" s="41"/>
      <c r="C143" s="24" t="s">
        <v>113</v>
      </c>
      <c r="D143" s="15" t="e">
        <f>D144+D153+D162+D172+D174+#REF!</f>
        <v>#REF!</v>
      </c>
      <c r="E143" s="15" t="e">
        <f>E144+E153+E162+E174+E184+#REF!+#REF!</f>
        <v>#REF!</v>
      </c>
      <c r="F143" s="15" t="e">
        <f>F144+F153+F162+F174+F184+#REF!+#REF!+F190</f>
        <v>#REF!</v>
      </c>
      <c r="G143" s="15" t="e">
        <f>G144+G153+G162+G174+G184+#REF!+#REF!+G190</f>
        <v>#REF!</v>
      </c>
      <c r="H143" s="15" t="e">
        <f>H144+H153+H162+H174+H184+#REF!+#REF!+H190</f>
        <v>#REF!</v>
      </c>
      <c r="I143" s="15" t="e">
        <f>I144+I153+I162+I174+I184+#REF!+#REF!</f>
        <v>#REF!</v>
      </c>
      <c r="J143" s="15"/>
      <c r="K143" s="15"/>
      <c r="L143" s="15"/>
      <c r="M143" s="15"/>
      <c r="N143" s="15" t="e">
        <f>N144+N153+N162+N172+N174+N184+#REF!+#REF!</f>
        <v>#REF!</v>
      </c>
      <c r="O143" s="15" t="e">
        <f>O144+O153+O162+O172+O174+O184+#REF!+#REF!</f>
        <v>#REF!</v>
      </c>
      <c r="P143" s="15">
        <f>P144+P153+P162+P172+P174+P179+P184+P187</f>
        <v>16055405.050000001</v>
      </c>
      <c r="Q143" s="15">
        <v>16055405.050000001</v>
      </c>
      <c r="R143" s="15">
        <v>16055405.050000001</v>
      </c>
      <c r="S143" s="7">
        <v>0</v>
      </c>
      <c r="T143" s="43">
        <v>1</v>
      </c>
      <c r="U143" s="15">
        <f>U144+U153+U162+U172+U174+U179+U184+U187</f>
        <v>16055405.050000001</v>
      </c>
      <c r="V143" s="44">
        <f t="shared" si="19"/>
        <v>0</v>
      </c>
      <c r="W143" s="85"/>
      <c r="AB143" s="54"/>
    </row>
    <row r="144" spans="1:28" ht="71.25">
      <c r="A144" s="94">
        <v>13</v>
      </c>
      <c r="B144" s="51" t="s">
        <v>237</v>
      </c>
      <c r="C144" s="26" t="s">
        <v>239</v>
      </c>
      <c r="D144" s="4">
        <f>SUM(D145:D152)</f>
        <v>3955000</v>
      </c>
      <c r="E144" s="4">
        <f>SUM(E145:E152)</f>
        <v>3896000</v>
      </c>
      <c r="F144" s="4">
        <f>SUM(F145:F152)</f>
        <v>3955000</v>
      </c>
      <c r="G144" s="4">
        <f t="shared" ref="G144:G199" si="21">F144-E144</f>
        <v>59000</v>
      </c>
      <c r="H144" s="4">
        <f>SUM(H145:H152)</f>
        <v>3955000</v>
      </c>
      <c r="I144" s="4">
        <f>SUM(I145:I152)</f>
        <v>3223250</v>
      </c>
      <c r="J144" s="4"/>
      <c r="K144" s="4"/>
      <c r="L144" s="4"/>
      <c r="M144" s="4"/>
      <c r="N144" s="4">
        <v>2822029.8800000008</v>
      </c>
      <c r="O144" s="4">
        <f>SUM(O145:O152)</f>
        <v>1543369.6300000001</v>
      </c>
      <c r="P144" s="4">
        <f>SUM(P145:P152)</f>
        <v>2842125.1100000008</v>
      </c>
      <c r="Q144" s="4">
        <v>2842125.1100000008</v>
      </c>
      <c r="R144" s="4">
        <v>2842125.1100000008</v>
      </c>
      <c r="S144" s="9">
        <v>0</v>
      </c>
      <c r="T144" s="53">
        <v>1</v>
      </c>
      <c r="U144" s="4">
        <f>SUM(U145:U152)</f>
        <v>2842125.1100000008</v>
      </c>
      <c r="V144" s="49">
        <f t="shared" si="19"/>
        <v>0</v>
      </c>
      <c r="W144" s="85"/>
    </row>
    <row r="145" spans="1:28" s="60" customFormat="1">
      <c r="A145" s="93">
        <v>14</v>
      </c>
      <c r="B145" s="55"/>
      <c r="C145" s="95" t="s">
        <v>24</v>
      </c>
      <c r="D145" s="17">
        <v>888000</v>
      </c>
      <c r="E145" s="17">
        <v>888000</v>
      </c>
      <c r="F145" s="17">
        <v>888000</v>
      </c>
      <c r="G145" s="17">
        <f t="shared" si="21"/>
        <v>0</v>
      </c>
      <c r="H145" s="17">
        <f>444000+444000</f>
        <v>888000</v>
      </c>
      <c r="I145" s="17">
        <f>444000+444000</f>
        <v>888000</v>
      </c>
      <c r="J145" s="17"/>
      <c r="K145" s="17"/>
      <c r="L145" s="17"/>
      <c r="M145" s="17"/>
      <c r="N145" s="17">
        <v>914055.48</v>
      </c>
      <c r="O145" s="17">
        <v>457027.74</v>
      </c>
      <c r="P145" s="17">
        <v>934070.69</v>
      </c>
      <c r="Q145" s="17">
        <v>934070.69</v>
      </c>
      <c r="R145" s="17">
        <v>934070.69</v>
      </c>
      <c r="S145" s="10">
        <v>0</v>
      </c>
      <c r="T145" s="57">
        <v>1</v>
      </c>
      <c r="U145" s="17">
        <v>934070.69</v>
      </c>
      <c r="V145" s="58">
        <f t="shared" si="19"/>
        <v>0</v>
      </c>
      <c r="W145" s="85"/>
      <c r="AB145" s="54"/>
    </row>
    <row r="146" spans="1:28" s="60" customFormat="1">
      <c r="A146" s="93"/>
      <c r="B146" s="55"/>
      <c r="C146" s="95" t="s">
        <v>25</v>
      </c>
      <c r="D146" s="17">
        <v>908000</v>
      </c>
      <c r="E146" s="17">
        <v>908000</v>
      </c>
      <c r="F146" s="17">
        <v>908000</v>
      </c>
      <c r="G146" s="17">
        <f t="shared" si="21"/>
        <v>0</v>
      </c>
      <c r="H146" s="17">
        <f>227000+227000+227000+227000</f>
        <v>908000</v>
      </c>
      <c r="I146" s="17">
        <f>227000+227000+227000</f>
        <v>681000</v>
      </c>
      <c r="J146" s="17"/>
      <c r="K146" s="17"/>
      <c r="L146" s="17"/>
      <c r="M146" s="17"/>
      <c r="N146" s="17">
        <v>791014.98</v>
      </c>
      <c r="O146" s="17">
        <v>395508.98</v>
      </c>
      <c r="P146" s="17">
        <v>791095</v>
      </c>
      <c r="Q146" s="17">
        <v>791095</v>
      </c>
      <c r="R146" s="17">
        <v>791095</v>
      </c>
      <c r="S146" s="10">
        <v>0</v>
      </c>
      <c r="T146" s="57">
        <v>1</v>
      </c>
      <c r="U146" s="17">
        <v>791095</v>
      </c>
      <c r="V146" s="58">
        <f t="shared" si="19"/>
        <v>0</v>
      </c>
      <c r="W146" s="85"/>
      <c r="AB146" s="54"/>
    </row>
    <row r="147" spans="1:28" s="60" customFormat="1">
      <c r="A147" s="93">
        <v>16</v>
      </c>
      <c r="B147" s="55"/>
      <c r="C147" s="95" t="s">
        <v>26</v>
      </c>
      <c r="D147" s="17">
        <v>499000</v>
      </c>
      <c r="E147" s="17">
        <v>499000</v>
      </c>
      <c r="F147" s="17">
        <v>499000</v>
      </c>
      <c r="G147" s="17">
        <f t="shared" si="21"/>
        <v>0</v>
      </c>
      <c r="H147" s="17">
        <f>124750+124750+124750+124750</f>
        <v>499000</v>
      </c>
      <c r="I147" s="17">
        <f>124750+124750+124750</f>
        <v>374250</v>
      </c>
      <c r="J147" s="17"/>
      <c r="K147" s="17"/>
      <c r="L147" s="17"/>
      <c r="M147" s="17"/>
      <c r="N147" s="17">
        <v>455193.42</v>
      </c>
      <c r="O147" s="17">
        <v>227596.71</v>
      </c>
      <c r="P147" s="17">
        <v>455193.42</v>
      </c>
      <c r="Q147" s="17">
        <v>455193.42</v>
      </c>
      <c r="R147" s="17">
        <v>455193.42000000004</v>
      </c>
      <c r="S147" s="10">
        <v>0</v>
      </c>
      <c r="T147" s="57">
        <v>1.0000000000000002</v>
      </c>
      <c r="U147" s="17">
        <v>455193.42</v>
      </c>
      <c r="V147" s="58">
        <f t="shared" si="19"/>
        <v>0</v>
      </c>
      <c r="W147" s="85"/>
      <c r="AB147" s="54"/>
    </row>
    <row r="148" spans="1:28" s="60" customFormat="1">
      <c r="A148" s="93">
        <v>17</v>
      </c>
      <c r="B148" s="55"/>
      <c r="C148" s="95" t="s">
        <v>27</v>
      </c>
      <c r="D148" s="17">
        <v>481000</v>
      </c>
      <c r="E148" s="17">
        <v>481000</v>
      </c>
      <c r="F148" s="17">
        <v>481000</v>
      </c>
      <c r="G148" s="17">
        <f t="shared" si="21"/>
        <v>0</v>
      </c>
      <c r="H148" s="17">
        <f>120250+120250+120250+120250</f>
        <v>481000</v>
      </c>
      <c r="I148" s="17">
        <f>120250+120250+120250</f>
        <v>360750</v>
      </c>
      <c r="J148" s="17"/>
      <c r="K148" s="17"/>
      <c r="L148" s="17"/>
      <c r="M148" s="17"/>
      <c r="N148" s="17">
        <v>132353.20000000001</v>
      </c>
      <c r="O148" s="17">
        <v>66176.600000000006</v>
      </c>
      <c r="P148" s="17">
        <v>132353.20000000001</v>
      </c>
      <c r="Q148" s="17">
        <v>132353.20000000001</v>
      </c>
      <c r="R148" s="17">
        <v>132353.20000000001</v>
      </c>
      <c r="S148" s="10">
        <v>0</v>
      </c>
      <c r="T148" s="57">
        <v>1</v>
      </c>
      <c r="U148" s="17">
        <v>132353.20000000001</v>
      </c>
      <c r="V148" s="58">
        <f t="shared" si="19"/>
        <v>0</v>
      </c>
      <c r="W148" s="85"/>
      <c r="AB148" s="54"/>
    </row>
    <row r="149" spans="1:28" s="60" customFormat="1">
      <c r="A149" s="93">
        <v>19</v>
      </c>
      <c r="B149" s="55"/>
      <c r="C149" s="95" t="s">
        <v>28</v>
      </c>
      <c r="D149" s="17">
        <v>370000</v>
      </c>
      <c r="E149" s="17">
        <v>370000</v>
      </c>
      <c r="F149" s="17">
        <v>370000</v>
      </c>
      <c r="G149" s="17">
        <f t="shared" si="21"/>
        <v>0</v>
      </c>
      <c r="H149" s="17">
        <f>92500+92500+185000</f>
        <v>370000</v>
      </c>
      <c r="I149" s="17">
        <f>92500+92500</f>
        <v>185000</v>
      </c>
      <c r="J149" s="17"/>
      <c r="K149" s="17"/>
      <c r="L149" s="17"/>
      <c r="M149" s="17"/>
      <c r="N149" s="17">
        <v>132353.20000000001</v>
      </c>
      <c r="O149" s="17">
        <v>66176.600000000006</v>
      </c>
      <c r="P149" s="17">
        <v>132353.20000000001</v>
      </c>
      <c r="Q149" s="17">
        <v>132353.20000000001</v>
      </c>
      <c r="R149" s="17">
        <v>132353.20000000001</v>
      </c>
      <c r="S149" s="10">
        <v>0</v>
      </c>
      <c r="T149" s="57">
        <v>1</v>
      </c>
      <c r="U149" s="17">
        <v>132353.20000000001</v>
      </c>
      <c r="V149" s="58">
        <f t="shared" si="19"/>
        <v>0</v>
      </c>
      <c r="W149" s="85"/>
      <c r="AB149" s="54"/>
    </row>
    <row r="150" spans="1:28" s="60" customFormat="1">
      <c r="A150" s="93">
        <v>19</v>
      </c>
      <c r="B150" s="55"/>
      <c r="C150" s="95" t="s">
        <v>29</v>
      </c>
      <c r="D150" s="17">
        <v>380000</v>
      </c>
      <c r="E150" s="17">
        <v>380000</v>
      </c>
      <c r="F150" s="17">
        <v>380000</v>
      </c>
      <c r="G150" s="17">
        <f t="shared" si="21"/>
        <v>0</v>
      </c>
      <c r="H150" s="17">
        <v>380000</v>
      </c>
      <c r="I150" s="17">
        <v>380000</v>
      </c>
      <c r="J150" s="17"/>
      <c r="K150" s="17"/>
      <c r="L150" s="17"/>
      <c r="M150" s="17"/>
      <c r="N150" s="17">
        <v>132353.20000000001</v>
      </c>
      <c r="O150" s="17">
        <v>132353.20000000001</v>
      </c>
      <c r="P150" s="17">
        <v>132353.20000000001</v>
      </c>
      <c r="Q150" s="17">
        <v>132353.20000000001</v>
      </c>
      <c r="R150" s="17">
        <v>132353.20000000001</v>
      </c>
      <c r="S150" s="10">
        <v>0</v>
      </c>
      <c r="T150" s="57">
        <v>1</v>
      </c>
      <c r="U150" s="17">
        <v>132353.20000000001</v>
      </c>
      <c r="V150" s="58">
        <f t="shared" si="19"/>
        <v>0</v>
      </c>
      <c r="W150" s="85"/>
      <c r="AB150" s="54"/>
    </row>
    <row r="151" spans="1:28" s="60" customFormat="1">
      <c r="A151" s="93">
        <v>20</v>
      </c>
      <c r="B151" s="55"/>
      <c r="C151" s="95" t="s">
        <v>30</v>
      </c>
      <c r="D151" s="17">
        <v>299000</v>
      </c>
      <c r="E151" s="17">
        <v>240000</v>
      </c>
      <c r="F151" s="17">
        <v>299000</v>
      </c>
      <c r="G151" s="17">
        <f t="shared" si="21"/>
        <v>59000</v>
      </c>
      <c r="H151" s="17">
        <f>74750+74750+74750+74750</f>
        <v>299000</v>
      </c>
      <c r="I151" s="17">
        <f>74750+74750+74750</f>
        <v>224250</v>
      </c>
      <c r="J151" s="17"/>
      <c r="K151" s="17"/>
      <c r="L151" s="17"/>
      <c r="M151" s="17"/>
      <c r="N151" s="17">
        <v>132353.20000000001</v>
      </c>
      <c r="O151" s="17">
        <v>66176.600000000006</v>
      </c>
      <c r="P151" s="17">
        <v>132353.20000000001</v>
      </c>
      <c r="Q151" s="17">
        <v>132353.20000000001</v>
      </c>
      <c r="R151" s="17">
        <v>132353.20000000001</v>
      </c>
      <c r="S151" s="10">
        <v>0</v>
      </c>
      <c r="T151" s="57">
        <v>1</v>
      </c>
      <c r="U151" s="17">
        <v>132353.20000000001</v>
      </c>
      <c r="V151" s="58">
        <f t="shared" si="19"/>
        <v>0</v>
      </c>
      <c r="W151" s="85"/>
      <c r="AB151" s="54"/>
    </row>
    <row r="152" spans="1:28" s="60" customFormat="1">
      <c r="A152" s="93">
        <v>21</v>
      </c>
      <c r="B152" s="55"/>
      <c r="C152" s="95" t="s">
        <v>34</v>
      </c>
      <c r="D152" s="17">
        <v>130000</v>
      </c>
      <c r="E152" s="17">
        <v>130000</v>
      </c>
      <c r="F152" s="17">
        <v>130000</v>
      </c>
      <c r="G152" s="17">
        <f t="shared" si="21"/>
        <v>0</v>
      </c>
      <c r="H152" s="17">
        <v>130000</v>
      </c>
      <c r="I152" s="17">
        <v>130000</v>
      </c>
      <c r="J152" s="17"/>
      <c r="K152" s="17"/>
      <c r="L152" s="17"/>
      <c r="M152" s="17"/>
      <c r="N152" s="17">
        <v>132353.20000000001</v>
      </c>
      <c r="O152" s="17">
        <v>132353.20000000001</v>
      </c>
      <c r="P152" s="17">
        <v>132353.20000000001</v>
      </c>
      <c r="Q152" s="17">
        <v>132353.20000000001</v>
      </c>
      <c r="R152" s="17">
        <v>132353.20000000001</v>
      </c>
      <c r="S152" s="10">
        <v>0</v>
      </c>
      <c r="T152" s="57">
        <v>1</v>
      </c>
      <c r="U152" s="17">
        <v>132353.20000000001</v>
      </c>
      <c r="V152" s="58">
        <f t="shared" si="19"/>
        <v>0</v>
      </c>
      <c r="W152" s="85"/>
      <c r="AB152" s="54"/>
    </row>
    <row r="153" spans="1:28" ht="99.75">
      <c r="A153" s="94">
        <v>23</v>
      </c>
      <c r="B153" s="51" t="s">
        <v>237</v>
      </c>
      <c r="C153" s="26" t="s">
        <v>238</v>
      </c>
      <c r="D153" s="4">
        <f>SUM(D154:D161)</f>
        <v>1245501.9000000001</v>
      </c>
      <c r="E153" s="4">
        <f>SUM(E154:E161)</f>
        <v>922056.75000000023</v>
      </c>
      <c r="F153" s="4">
        <f>SUM(F154:F161)</f>
        <v>1245501.9000000001</v>
      </c>
      <c r="G153" s="4">
        <f t="shared" si="21"/>
        <v>323445.14999999991</v>
      </c>
      <c r="H153" s="4">
        <f>SUM(H154:H161)</f>
        <v>1245501.9000000001</v>
      </c>
      <c r="I153" s="4">
        <f>SUM(I154:I161)</f>
        <v>984575.49</v>
      </c>
      <c r="J153" s="4"/>
      <c r="K153" s="4"/>
      <c r="L153" s="4"/>
      <c r="M153" s="4"/>
      <c r="N153" s="4">
        <v>1245501.8900000001</v>
      </c>
      <c r="O153" s="4">
        <f>SUM(O154:O161)</f>
        <v>894278.36</v>
      </c>
      <c r="P153" s="4">
        <f>SUM(P154:P158)</f>
        <v>738459.25</v>
      </c>
      <c r="Q153" s="4">
        <v>738459.25</v>
      </c>
      <c r="R153" s="4">
        <v>738459.25</v>
      </c>
      <c r="S153" s="9">
        <v>0</v>
      </c>
      <c r="T153" s="53">
        <v>1</v>
      </c>
      <c r="U153" s="4">
        <f>SUM(U154:U158)</f>
        <v>738459.25</v>
      </c>
      <c r="V153" s="49">
        <f t="shared" si="19"/>
        <v>0</v>
      </c>
      <c r="W153" s="85"/>
    </row>
    <row r="154" spans="1:28" s="60" customFormat="1" hidden="1">
      <c r="A154" s="93"/>
      <c r="B154" s="55"/>
      <c r="C154" s="95" t="s">
        <v>24</v>
      </c>
      <c r="D154" s="18">
        <v>497274.64</v>
      </c>
      <c r="E154" s="17">
        <v>396291.45</v>
      </c>
      <c r="F154" s="18">
        <v>497274.64</v>
      </c>
      <c r="G154" s="18">
        <f t="shared" si="21"/>
        <v>100983.19</v>
      </c>
      <c r="H154" s="18">
        <v>497274.64</v>
      </c>
      <c r="I154" s="18">
        <f>396291.45</f>
        <v>396291.45</v>
      </c>
      <c r="J154" s="18"/>
      <c r="K154" s="18"/>
      <c r="L154" s="18"/>
      <c r="M154" s="18"/>
      <c r="N154" s="18">
        <v>683780.54</v>
      </c>
      <c r="O154" s="18">
        <v>497274.64</v>
      </c>
      <c r="P154" s="18"/>
      <c r="Q154" s="18"/>
      <c r="R154" s="18"/>
      <c r="S154" s="9">
        <v>0</v>
      </c>
      <c r="T154" s="53" t="e">
        <v>#DIV/0!</v>
      </c>
      <c r="U154" s="18"/>
      <c r="V154" s="49">
        <f t="shared" si="19"/>
        <v>0</v>
      </c>
      <c r="W154" s="85"/>
      <c r="AB154" s="54"/>
    </row>
    <row r="155" spans="1:28" s="60" customFormat="1" hidden="1">
      <c r="A155" s="93">
        <v>24</v>
      </c>
      <c r="B155" s="55"/>
      <c r="C155" s="95" t="s">
        <v>25</v>
      </c>
      <c r="D155" s="18"/>
      <c r="E155" s="17"/>
      <c r="F155" s="18"/>
      <c r="G155" s="18">
        <f t="shared" si="21"/>
        <v>0</v>
      </c>
      <c r="H155" s="18"/>
      <c r="I155" s="18"/>
      <c r="J155" s="18"/>
      <c r="K155" s="18"/>
      <c r="L155" s="18"/>
      <c r="M155" s="18"/>
      <c r="N155" s="18">
        <v>0</v>
      </c>
      <c r="O155" s="18"/>
      <c r="P155" s="18">
        <v>0</v>
      </c>
      <c r="Q155" s="18">
        <v>0</v>
      </c>
      <c r="R155" s="18"/>
      <c r="S155" s="9">
        <v>0</v>
      </c>
      <c r="T155" s="53" t="e">
        <v>#DIV/0!</v>
      </c>
      <c r="U155" s="18">
        <v>0</v>
      </c>
      <c r="V155" s="49">
        <f t="shared" si="19"/>
        <v>0</v>
      </c>
      <c r="W155" s="85"/>
      <c r="AB155" s="54"/>
    </row>
    <row r="156" spans="1:28" s="60" customFormat="1">
      <c r="A156" s="93">
        <v>25</v>
      </c>
      <c r="B156" s="55"/>
      <c r="C156" s="95" t="s">
        <v>26</v>
      </c>
      <c r="D156" s="18">
        <v>157204.95000000001</v>
      </c>
      <c r="E156" s="17">
        <v>157204.95000000001</v>
      </c>
      <c r="F156" s="18">
        <v>157204.95000000001</v>
      </c>
      <c r="G156" s="18">
        <f t="shared" si="21"/>
        <v>0</v>
      </c>
      <c r="H156" s="18">
        <v>157204.95000000001</v>
      </c>
      <c r="I156" s="18">
        <f>39301.24+39301.24+39301.23</f>
        <v>117903.70999999999</v>
      </c>
      <c r="J156" s="18"/>
      <c r="K156" s="18"/>
      <c r="L156" s="18"/>
      <c r="M156" s="18"/>
      <c r="N156" s="18">
        <v>340644.77</v>
      </c>
      <c r="O156" s="18">
        <v>139620.76</v>
      </c>
      <c r="P156" s="18">
        <v>500325.33</v>
      </c>
      <c r="Q156" s="18">
        <v>500325.33</v>
      </c>
      <c r="R156" s="18">
        <v>500325.32999999996</v>
      </c>
      <c r="S156" s="10">
        <v>0</v>
      </c>
      <c r="T156" s="57">
        <v>0.99999999999999989</v>
      </c>
      <c r="U156" s="18">
        <v>500325.33</v>
      </c>
      <c r="V156" s="58">
        <f t="shared" si="19"/>
        <v>0</v>
      </c>
      <c r="W156" s="85"/>
      <c r="AB156" s="54"/>
    </row>
    <row r="157" spans="1:28" s="60" customFormat="1">
      <c r="A157" s="93">
        <v>26</v>
      </c>
      <c r="B157" s="55"/>
      <c r="C157" s="95" t="s">
        <v>27</v>
      </c>
      <c r="D157" s="18">
        <v>157204.95000000001</v>
      </c>
      <c r="E157" s="17">
        <v>157204.95000000001</v>
      </c>
      <c r="F157" s="18">
        <v>157204.95000000001</v>
      </c>
      <c r="G157" s="18">
        <f t="shared" si="21"/>
        <v>0</v>
      </c>
      <c r="H157" s="18">
        <v>157204.95000000001</v>
      </c>
      <c r="I157" s="18">
        <f>39301.24+39301.24+39301.24</f>
        <v>117903.72</v>
      </c>
      <c r="J157" s="18"/>
      <c r="K157" s="18"/>
      <c r="L157" s="18"/>
      <c r="M157" s="18"/>
      <c r="N157" s="18">
        <v>109105.97</v>
      </c>
      <c r="O157" s="18">
        <v>54552.98</v>
      </c>
      <c r="P157" s="18">
        <v>158109.70000000001</v>
      </c>
      <c r="Q157" s="18">
        <v>158109.70000000001</v>
      </c>
      <c r="R157" s="18">
        <v>158109.70000000001</v>
      </c>
      <c r="S157" s="10">
        <v>0</v>
      </c>
      <c r="T157" s="57">
        <v>1</v>
      </c>
      <c r="U157" s="18">
        <v>158109.70000000001</v>
      </c>
      <c r="V157" s="58">
        <f t="shared" si="19"/>
        <v>0</v>
      </c>
      <c r="W157" s="85"/>
      <c r="AB157" s="54"/>
    </row>
    <row r="158" spans="1:28" s="60" customFormat="1">
      <c r="A158" s="93">
        <v>27</v>
      </c>
      <c r="B158" s="55"/>
      <c r="C158" s="95" t="s">
        <v>28</v>
      </c>
      <c r="D158" s="18">
        <v>108454.34</v>
      </c>
      <c r="E158" s="17">
        <v>73258.28</v>
      </c>
      <c r="F158" s="18">
        <v>108454.34</v>
      </c>
      <c r="G158" s="18">
        <f t="shared" si="21"/>
        <v>35196.06</v>
      </c>
      <c r="H158" s="18">
        <v>108454.34</v>
      </c>
      <c r="I158" s="18">
        <f>27113.58+27113.58</f>
        <v>54227.16</v>
      </c>
      <c r="J158" s="18"/>
      <c r="K158" s="18"/>
      <c r="L158" s="18"/>
      <c r="M158" s="18"/>
      <c r="N158" s="18">
        <v>111970.61</v>
      </c>
      <c r="O158" s="18"/>
      <c r="P158" s="18">
        <v>80024.22</v>
      </c>
      <c r="Q158" s="18">
        <v>80024.22</v>
      </c>
      <c r="R158" s="18">
        <v>80024.22</v>
      </c>
      <c r="S158" s="10">
        <v>0</v>
      </c>
      <c r="T158" s="57">
        <v>1</v>
      </c>
      <c r="U158" s="18">
        <v>80024.22</v>
      </c>
      <c r="V158" s="58">
        <f t="shared" si="19"/>
        <v>0</v>
      </c>
      <c r="W158" s="85"/>
      <c r="AB158" s="54"/>
    </row>
    <row r="159" spans="1:28" s="60" customFormat="1" hidden="1">
      <c r="A159" s="93">
        <v>28</v>
      </c>
      <c r="B159" s="55"/>
      <c r="C159" s="95" t="s">
        <v>29</v>
      </c>
      <c r="D159" s="18">
        <v>108454.34</v>
      </c>
      <c r="E159" s="17">
        <v>73258.28</v>
      </c>
      <c r="F159" s="18">
        <v>108454.34</v>
      </c>
      <c r="G159" s="18">
        <f t="shared" si="21"/>
        <v>35196.06</v>
      </c>
      <c r="H159" s="18">
        <v>108454.34</v>
      </c>
      <c r="I159" s="18">
        <f>108454.34</f>
        <v>108454.34</v>
      </c>
      <c r="J159" s="18"/>
      <c r="K159" s="18"/>
      <c r="L159" s="18"/>
      <c r="M159" s="18"/>
      <c r="N159" s="18">
        <v>0</v>
      </c>
      <c r="O159" s="18">
        <v>81131.990000000005</v>
      </c>
      <c r="P159" s="18">
        <v>0</v>
      </c>
      <c r="Q159" s="18">
        <v>0</v>
      </c>
      <c r="R159" s="18"/>
      <c r="S159" s="9">
        <v>0</v>
      </c>
      <c r="T159" s="53" t="e">
        <v>#DIV/0!</v>
      </c>
      <c r="U159" s="18">
        <v>0</v>
      </c>
      <c r="V159" s="49">
        <f t="shared" si="19"/>
        <v>0</v>
      </c>
      <c r="W159" s="85"/>
      <c r="AB159" s="54"/>
    </row>
    <row r="160" spans="1:28" s="60" customFormat="1" hidden="1">
      <c r="A160" s="93"/>
      <c r="B160" s="55"/>
      <c r="C160" s="95" t="s">
        <v>30</v>
      </c>
      <c r="D160" s="18">
        <v>108454.34</v>
      </c>
      <c r="E160" s="17">
        <v>32419.420000000002</v>
      </c>
      <c r="F160" s="18">
        <v>108454.34</v>
      </c>
      <c r="G160" s="18">
        <f t="shared" si="21"/>
        <v>76034.92</v>
      </c>
      <c r="H160" s="18">
        <v>108454.34</v>
      </c>
      <c r="I160" s="18">
        <f>27113.59+27113.59+27113.59</f>
        <v>81340.77</v>
      </c>
      <c r="J160" s="18"/>
      <c r="K160" s="18"/>
      <c r="L160" s="18"/>
      <c r="M160" s="18"/>
      <c r="N160" s="18">
        <v>0</v>
      </c>
      <c r="O160" s="18">
        <v>40566</v>
      </c>
      <c r="P160" s="18">
        <v>0</v>
      </c>
      <c r="Q160" s="18">
        <v>0</v>
      </c>
      <c r="R160" s="18"/>
      <c r="S160" s="9">
        <v>0</v>
      </c>
      <c r="T160" s="53" t="e">
        <v>#DIV/0!</v>
      </c>
      <c r="U160" s="18">
        <v>0</v>
      </c>
      <c r="V160" s="49">
        <f t="shared" si="19"/>
        <v>0</v>
      </c>
      <c r="W160" s="85"/>
      <c r="AB160" s="54"/>
    </row>
    <row r="161" spans="1:28" s="60" customFormat="1" hidden="1">
      <c r="A161" s="93">
        <v>29</v>
      </c>
      <c r="B161" s="55"/>
      <c r="C161" s="95" t="s">
        <v>34</v>
      </c>
      <c r="D161" s="18">
        <v>108454.34</v>
      </c>
      <c r="E161" s="17">
        <v>32419.420000000002</v>
      </c>
      <c r="F161" s="18">
        <v>108454.34</v>
      </c>
      <c r="G161" s="18">
        <f t="shared" si="21"/>
        <v>76034.92</v>
      </c>
      <c r="H161" s="18">
        <v>108454.34</v>
      </c>
      <c r="I161" s="18">
        <f>108454.34</f>
        <v>108454.34</v>
      </c>
      <c r="J161" s="18"/>
      <c r="K161" s="18"/>
      <c r="L161" s="18"/>
      <c r="M161" s="18"/>
      <c r="N161" s="18">
        <v>0</v>
      </c>
      <c r="O161" s="18">
        <v>81131.990000000005</v>
      </c>
      <c r="P161" s="18">
        <v>0</v>
      </c>
      <c r="Q161" s="18">
        <v>0</v>
      </c>
      <c r="R161" s="18"/>
      <c r="S161" s="9">
        <v>0</v>
      </c>
      <c r="T161" s="53" t="e">
        <v>#DIV/0!</v>
      </c>
      <c r="U161" s="18">
        <v>0</v>
      </c>
      <c r="V161" s="49">
        <f t="shared" ref="V161:V200" si="22">U161-P161</f>
        <v>0</v>
      </c>
      <c r="W161" s="85"/>
      <c r="AB161" s="54"/>
    </row>
    <row r="162" spans="1:28" ht="71.25">
      <c r="B162" s="51" t="s">
        <v>237</v>
      </c>
      <c r="C162" s="26" t="s">
        <v>240</v>
      </c>
      <c r="D162" s="4">
        <f>SUM(D163:D171)</f>
        <v>1681555</v>
      </c>
      <c r="E162" s="4">
        <f>SUM(E163:E171)</f>
        <v>1681555</v>
      </c>
      <c r="F162" s="4">
        <f>SUM(F163:F171)</f>
        <v>1681555</v>
      </c>
      <c r="G162" s="4">
        <f t="shared" si="21"/>
        <v>0</v>
      </c>
      <c r="H162" s="4">
        <f>SUM(H163:H171)</f>
        <v>1681555</v>
      </c>
      <c r="I162" s="4">
        <f>SUM(I163:I171)</f>
        <v>1366964</v>
      </c>
      <c r="J162" s="4"/>
      <c r="K162" s="4"/>
      <c r="L162" s="4"/>
      <c r="M162" s="4"/>
      <c r="N162" s="4">
        <v>1933415.05</v>
      </c>
      <c r="O162" s="4">
        <f>SUM(O163:O171)</f>
        <v>1235891.03</v>
      </c>
      <c r="P162" s="4">
        <f>SUM(P163:P171)</f>
        <v>1933415.0500000005</v>
      </c>
      <c r="Q162" s="4">
        <v>1933415.0500000005</v>
      </c>
      <c r="R162" s="4">
        <v>1933415.0500000005</v>
      </c>
      <c r="S162" s="9">
        <v>0</v>
      </c>
      <c r="T162" s="53">
        <v>1</v>
      </c>
      <c r="U162" s="4">
        <f>SUM(U163:U171)</f>
        <v>1933415.0500000005</v>
      </c>
      <c r="V162" s="49">
        <f t="shared" si="22"/>
        <v>0</v>
      </c>
      <c r="W162" s="85"/>
    </row>
    <row r="163" spans="1:28" s="60" customFormat="1">
      <c r="A163" s="54"/>
      <c r="B163" s="55"/>
      <c r="C163" s="95" t="s">
        <v>31</v>
      </c>
      <c r="D163" s="17">
        <v>285865</v>
      </c>
      <c r="E163" s="17">
        <v>285865</v>
      </c>
      <c r="F163" s="17">
        <v>285865</v>
      </c>
      <c r="G163" s="17">
        <f t="shared" si="21"/>
        <v>0</v>
      </c>
      <c r="H163" s="17">
        <v>285865</v>
      </c>
      <c r="I163" s="17">
        <f>71466.25+71466.25+71466.25</f>
        <v>214398.75</v>
      </c>
      <c r="J163" s="17"/>
      <c r="K163" s="17"/>
      <c r="L163" s="17"/>
      <c r="M163" s="17"/>
      <c r="N163" s="17">
        <v>752664.02</v>
      </c>
      <c r="O163" s="17">
        <v>376332</v>
      </c>
      <c r="P163" s="17">
        <v>839568.4</v>
      </c>
      <c r="Q163" s="17">
        <v>839568.4</v>
      </c>
      <c r="R163" s="17">
        <v>839568.4</v>
      </c>
      <c r="S163" s="10">
        <v>0</v>
      </c>
      <c r="T163" s="57">
        <v>1</v>
      </c>
      <c r="U163" s="17">
        <v>839568.4</v>
      </c>
      <c r="V163" s="58">
        <f t="shared" si="22"/>
        <v>0</v>
      </c>
      <c r="W163" s="85"/>
      <c r="AB163" s="54"/>
    </row>
    <row r="164" spans="1:28" s="60" customFormat="1">
      <c r="A164" s="54"/>
      <c r="B164" s="55"/>
      <c r="C164" s="95" t="s">
        <v>24</v>
      </c>
      <c r="D164" s="17">
        <v>285864</v>
      </c>
      <c r="E164" s="17">
        <v>285864</v>
      </c>
      <c r="F164" s="17">
        <v>285864</v>
      </c>
      <c r="G164" s="17">
        <f t="shared" si="21"/>
        <v>0</v>
      </c>
      <c r="H164" s="17">
        <v>285864</v>
      </c>
      <c r="I164" s="17">
        <f>285864</f>
        <v>285864</v>
      </c>
      <c r="J164" s="17"/>
      <c r="K164" s="17"/>
      <c r="L164" s="17"/>
      <c r="M164" s="17"/>
      <c r="N164" s="17">
        <v>382611.21</v>
      </c>
      <c r="O164" s="17">
        <v>382611.21</v>
      </c>
      <c r="P164" s="17">
        <v>391895.36</v>
      </c>
      <c r="Q164" s="17">
        <v>391895.36</v>
      </c>
      <c r="R164" s="17">
        <v>391895.36</v>
      </c>
      <c r="S164" s="10">
        <v>0</v>
      </c>
      <c r="T164" s="57">
        <v>1</v>
      </c>
      <c r="U164" s="17">
        <v>391895.36</v>
      </c>
      <c r="V164" s="58">
        <f t="shared" si="22"/>
        <v>0</v>
      </c>
      <c r="W164" s="85"/>
      <c r="AB164" s="54"/>
    </row>
    <row r="165" spans="1:28" s="60" customFormat="1">
      <c r="A165" s="54"/>
      <c r="B165" s="55"/>
      <c r="C165" s="95" t="s">
        <v>25</v>
      </c>
      <c r="D165" s="17">
        <v>285864</v>
      </c>
      <c r="E165" s="17">
        <v>285864</v>
      </c>
      <c r="F165" s="17">
        <v>285864</v>
      </c>
      <c r="G165" s="17">
        <f t="shared" si="21"/>
        <v>0</v>
      </c>
      <c r="H165" s="17">
        <v>285864</v>
      </c>
      <c r="I165" s="17">
        <f>71466+71466+71466</f>
        <v>214398</v>
      </c>
      <c r="J165" s="17"/>
      <c r="K165" s="17"/>
      <c r="L165" s="17"/>
      <c r="M165" s="17"/>
      <c r="N165" s="17">
        <v>330883.89</v>
      </c>
      <c r="O165" s="17">
        <v>165443.89000000001</v>
      </c>
      <c r="P165" s="17">
        <v>297015.2</v>
      </c>
      <c r="Q165" s="17">
        <v>297015.2</v>
      </c>
      <c r="R165" s="17">
        <v>297015.2</v>
      </c>
      <c r="S165" s="10">
        <v>0</v>
      </c>
      <c r="T165" s="57">
        <v>1</v>
      </c>
      <c r="U165" s="17">
        <v>297015.2</v>
      </c>
      <c r="V165" s="58">
        <f t="shared" si="22"/>
        <v>0</v>
      </c>
      <c r="W165" s="85"/>
      <c r="AB165" s="54"/>
    </row>
    <row r="166" spans="1:28" s="60" customFormat="1">
      <c r="A166" s="54"/>
      <c r="B166" s="55"/>
      <c r="C166" s="95" t="s">
        <v>26</v>
      </c>
      <c r="D166" s="17">
        <v>137327</v>
      </c>
      <c r="E166" s="17">
        <v>137327</v>
      </c>
      <c r="F166" s="17">
        <v>137327</v>
      </c>
      <c r="G166" s="17">
        <f t="shared" si="21"/>
        <v>0</v>
      </c>
      <c r="H166" s="17">
        <v>137327</v>
      </c>
      <c r="I166" s="17">
        <f>34331.75+34331.75+34331.75</f>
        <v>102995.25</v>
      </c>
      <c r="J166" s="17"/>
      <c r="K166" s="17"/>
      <c r="L166" s="17"/>
      <c r="M166" s="17"/>
      <c r="N166" s="17">
        <v>77876</v>
      </c>
      <c r="O166" s="17">
        <v>38938</v>
      </c>
      <c r="P166" s="17">
        <v>67489.350000000006</v>
      </c>
      <c r="Q166" s="17">
        <v>67489.350000000006</v>
      </c>
      <c r="R166" s="17">
        <v>67489.350000000006</v>
      </c>
      <c r="S166" s="10">
        <v>0</v>
      </c>
      <c r="T166" s="57">
        <v>1</v>
      </c>
      <c r="U166" s="17">
        <v>67489.350000000006</v>
      </c>
      <c r="V166" s="58">
        <f t="shared" si="22"/>
        <v>0</v>
      </c>
      <c r="W166" s="85"/>
      <c r="AB166" s="54"/>
    </row>
    <row r="167" spans="1:28" s="60" customFormat="1">
      <c r="A167" s="54"/>
      <c r="B167" s="55"/>
      <c r="C167" s="95" t="s">
        <v>27</v>
      </c>
      <c r="D167" s="17">
        <v>137327</v>
      </c>
      <c r="E167" s="17">
        <v>137327</v>
      </c>
      <c r="F167" s="17">
        <v>137327</v>
      </c>
      <c r="G167" s="17">
        <f t="shared" si="21"/>
        <v>0</v>
      </c>
      <c r="H167" s="17">
        <v>137327</v>
      </c>
      <c r="I167" s="17">
        <f>34331.75+34331.75+34331.75</f>
        <v>102995.25</v>
      </c>
      <c r="J167" s="17"/>
      <c r="K167" s="17"/>
      <c r="L167" s="17"/>
      <c r="M167" s="17"/>
      <c r="N167" s="17">
        <v>77876</v>
      </c>
      <c r="O167" s="17">
        <v>38938</v>
      </c>
      <c r="P167" s="17">
        <v>67489.350000000006</v>
      </c>
      <c r="Q167" s="17">
        <v>67489.350000000006</v>
      </c>
      <c r="R167" s="17">
        <v>67489.350000000006</v>
      </c>
      <c r="S167" s="10">
        <v>0</v>
      </c>
      <c r="T167" s="57">
        <v>1</v>
      </c>
      <c r="U167" s="17">
        <v>67489.350000000006</v>
      </c>
      <c r="V167" s="58">
        <f t="shared" si="22"/>
        <v>0</v>
      </c>
      <c r="W167" s="85"/>
      <c r="AB167" s="54"/>
    </row>
    <row r="168" spans="1:28" s="60" customFormat="1">
      <c r="A168" s="54"/>
      <c r="B168" s="55"/>
      <c r="C168" s="95" t="s">
        <v>28</v>
      </c>
      <c r="D168" s="17">
        <v>137327</v>
      </c>
      <c r="E168" s="17">
        <v>137327</v>
      </c>
      <c r="F168" s="17">
        <v>137327</v>
      </c>
      <c r="G168" s="17">
        <f t="shared" si="21"/>
        <v>0</v>
      </c>
      <c r="H168" s="17">
        <v>137327</v>
      </c>
      <c r="I168" s="17">
        <f>34331.75+34331.75</f>
        <v>68663.5</v>
      </c>
      <c r="J168" s="17"/>
      <c r="K168" s="17"/>
      <c r="L168" s="17"/>
      <c r="M168" s="17"/>
      <c r="N168" s="17">
        <v>77876</v>
      </c>
      <c r="O168" s="17">
        <v>38938</v>
      </c>
      <c r="P168" s="17">
        <v>67489.350000000006</v>
      </c>
      <c r="Q168" s="17">
        <v>67489.350000000006</v>
      </c>
      <c r="R168" s="17">
        <v>67489.350000000006</v>
      </c>
      <c r="S168" s="10">
        <v>0</v>
      </c>
      <c r="T168" s="57">
        <v>1</v>
      </c>
      <c r="U168" s="17">
        <v>67489.350000000006</v>
      </c>
      <c r="V168" s="58">
        <f t="shared" si="22"/>
        <v>0</v>
      </c>
      <c r="W168" s="85"/>
      <c r="AB168" s="54"/>
    </row>
    <row r="169" spans="1:28" s="60" customFormat="1">
      <c r="A169" s="54"/>
      <c r="B169" s="55"/>
      <c r="C169" s="95" t="s">
        <v>29</v>
      </c>
      <c r="D169" s="17">
        <v>137327</v>
      </c>
      <c r="E169" s="17">
        <v>137327</v>
      </c>
      <c r="F169" s="17">
        <v>137327</v>
      </c>
      <c r="G169" s="17">
        <f t="shared" si="21"/>
        <v>0</v>
      </c>
      <c r="H169" s="17">
        <v>137327</v>
      </c>
      <c r="I169" s="17">
        <f>137327</f>
        <v>137327</v>
      </c>
      <c r="J169" s="17"/>
      <c r="K169" s="17"/>
      <c r="L169" s="17"/>
      <c r="M169" s="17"/>
      <c r="N169" s="17">
        <v>77876</v>
      </c>
      <c r="O169" s="17">
        <v>77876</v>
      </c>
      <c r="P169" s="17">
        <v>67489.350000000006</v>
      </c>
      <c r="Q169" s="17">
        <v>67489.350000000006</v>
      </c>
      <c r="R169" s="17">
        <v>67489.350000000006</v>
      </c>
      <c r="S169" s="10">
        <v>0</v>
      </c>
      <c r="T169" s="57">
        <v>1</v>
      </c>
      <c r="U169" s="17">
        <v>67489.350000000006</v>
      </c>
      <c r="V169" s="58">
        <f t="shared" si="22"/>
        <v>0</v>
      </c>
      <c r="W169" s="85"/>
      <c r="AB169" s="54"/>
    </row>
    <row r="170" spans="1:28" s="60" customFormat="1">
      <c r="A170" s="54"/>
      <c r="B170" s="55"/>
      <c r="C170" s="95" t="s">
        <v>30</v>
      </c>
      <c r="D170" s="17">
        <v>137327</v>
      </c>
      <c r="E170" s="17">
        <v>137327</v>
      </c>
      <c r="F170" s="17">
        <v>137327</v>
      </c>
      <c r="G170" s="17">
        <f t="shared" si="21"/>
        <v>0</v>
      </c>
      <c r="H170" s="17">
        <v>137327</v>
      </c>
      <c r="I170" s="17">
        <f>34331.75+34331.75+34331.75</f>
        <v>102995.25</v>
      </c>
      <c r="J170" s="17"/>
      <c r="K170" s="17"/>
      <c r="L170" s="17"/>
      <c r="M170" s="17"/>
      <c r="N170" s="17">
        <v>77876</v>
      </c>
      <c r="O170" s="17">
        <v>38938</v>
      </c>
      <c r="P170" s="17">
        <v>67489.350000000006</v>
      </c>
      <c r="Q170" s="17">
        <v>67489.350000000006</v>
      </c>
      <c r="R170" s="17">
        <v>67489.350000000006</v>
      </c>
      <c r="S170" s="10">
        <v>0</v>
      </c>
      <c r="T170" s="57">
        <v>1</v>
      </c>
      <c r="U170" s="17">
        <v>67489.350000000006</v>
      </c>
      <c r="V170" s="58">
        <f t="shared" si="22"/>
        <v>0</v>
      </c>
      <c r="W170" s="85"/>
      <c r="AB170" s="54"/>
    </row>
    <row r="171" spans="1:28" s="60" customFormat="1">
      <c r="A171" s="54"/>
      <c r="B171" s="55"/>
      <c r="C171" s="95" t="s">
        <v>34</v>
      </c>
      <c r="D171" s="17">
        <v>137327</v>
      </c>
      <c r="E171" s="17">
        <v>137327</v>
      </c>
      <c r="F171" s="17">
        <v>137327</v>
      </c>
      <c r="G171" s="17">
        <f t="shared" si="21"/>
        <v>0</v>
      </c>
      <c r="H171" s="17">
        <v>137327</v>
      </c>
      <c r="I171" s="17">
        <v>137327</v>
      </c>
      <c r="J171" s="17"/>
      <c r="K171" s="17"/>
      <c r="L171" s="17"/>
      <c r="M171" s="17"/>
      <c r="N171" s="17">
        <v>77875.929999999993</v>
      </c>
      <c r="O171" s="17">
        <v>77875.929999999993</v>
      </c>
      <c r="P171" s="17">
        <v>67489.34</v>
      </c>
      <c r="Q171" s="17">
        <v>67489.34</v>
      </c>
      <c r="R171" s="17">
        <v>67489.34</v>
      </c>
      <c r="S171" s="10">
        <v>0</v>
      </c>
      <c r="T171" s="57">
        <v>1</v>
      </c>
      <c r="U171" s="17">
        <v>67489.34</v>
      </c>
      <c r="V171" s="58">
        <f t="shared" si="22"/>
        <v>0</v>
      </c>
      <c r="W171" s="85"/>
      <c r="AB171" s="54"/>
    </row>
    <row r="172" spans="1:28" ht="71.25" hidden="1">
      <c r="B172" s="51" t="s">
        <v>165</v>
      </c>
      <c r="C172" s="26" t="s">
        <v>121</v>
      </c>
      <c r="D172" s="4">
        <f>D173</f>
        <v>0</v>
      </c>
      <c r="E172" s="4">
        <f>E173</f>
        <v>0</v>
      </c>
      <c r="F172" s="4">
        <f>F173</f>
        <v>0</v>
      </c>
      <c r="G172" s="4">
        <f t="shared" si="21"/>
        <v>0</v>
      </c>
      <c r="H172" s="4">
        <f>H173</f>
        <v>0</v>
      </c>
      <c r="I172" s="4">
        <f>I173</f>
        <v>0</v>
      </c>
      <c r="J172" s="4"/>
      <c r="K172" s="4"/>
      <c r="L172" s="4"/>
      <c r="M172" s="4"/>
      <c r="N172" s="4">
        <v>0</v>
      </c>
      <c r="O172" s="4"/>
      <c r="P172" s="4">
        <v>0</v>
      </c>
      <c r="Q172" s="4">
        <v>0</v>
      </c>
      <c r="R172" s="4"/>
      <c r="S172" s="9">
        <v>0</v>
      </c>
      <c r="T172" s="53" t="e">
        <v>#DIV/0!</v>
      </c>
      <c r="U172" s="4">
        <v>0</v>
      </c>
      <c r="V172" s="49">
        <f t="shared" si="22"/>
        <v>0</v>
      </c>
      <c r="W172" s="85"/>
    </row>
    <row r="173" spans="1:28" s="60" customFormat="1" hidden="1">
      <c r="A173" s="54"/>
      <c r="B173" s="55"/>
      <c r="C173" s="95" t="s">
        <v>30</v>
      </c>
      <c r="D173" s="17"/>
      <c r="E173" s="17"/>
      <c r="F173" s="17"/>
      <c r="G173" s="17">
        <f t="shared" si="21"/>
        <v>0</v>
      </c>
      <c r="H173" s="17"/>
      <c r="I173" s="17"/>
      <c r="J173" s="17"/>
      <c r="K173" s="17"/>
      <c r="L173" s="17"/>
      <c r="M173" s="17"/>
      <c r="N173" s="17">
        <v>0</v>
      </c>
      <c r="O173" s="17"/>
      <c r="P173" s="17">
        <v>0</v>
      </c>
      <c r="Q173" s="17">
        <v>0</v>
      </c>
      <c r="R173" s="17"/>
      <c r="S173" s="9">
        <v>0</v>
      </c>
      <c r="T173" s="53" t="e">
        <v>#DIV/0!</v>
      </c>
      <c r="U173" s="17">
        <v>0</v>
      </c>
      <c r="V173" s="49">
        <f t="shared" si="22"/>
        <v>0</v>
      </c>
      <c r="W173" s="85"/>
      <c r="AB173" s="54"/>
    </row>
    <row r="174" spans="1:28" ht="99.75">
      <c r="B174" s="51" t="s">
        <v>237</v>
      </c>
      <c r="C174" s="26" t="s">
        <v>241</v>
      </c>
      <c r="D174" s="4" t="e">
        <f>D175+D176+D177+#REF!</f>
        <v>#REF!</v>
      </c>
      <c r="E174" s="4">
        <f>E175+E176+E177+E178</f>
        <v>6120800</v>
      </c>
      <c r="F174" s="4">
        <f>F175+F176+F177+F178</f>
        <v>10186800</v>
      </c>
      <c r="G174" s="4">
        <f>G175+G176+G177+G178</f>
        <v>4066000</v>
      </c>
      <c r="H174" s="4">
        <f>H175+H176+H177+H178</f>
        <v>10186800</v>
      </c>
      <c r="I174" s="4">
        <f>I175+I176+I177+I178</f>
        <v>5200000</v>
      </c>
      <c r="J174" s="4"/>
      <c r="K174" s="4"/>
      <c r="L174" s="4"/>
      <c r="M174" s="4"/>
      <c r="N174" s="4">
        <v>8346800</v>
      </c>
      <c r="O174" s="4">
        <f>SUM(O175:O178)</f>
        <v>5000000</v>
      </c>
      <c r="P174" s="4">
        <f>SUM(P175:P178)</f>
        <v>507042.64</v>
      </c>
      <c r="Q174" s="4">
        <v>507042.64</v>
      </c>
      <c r="R174" s="4">
        <v>507042.64</v>
      </c>
      <c r="S174" s="9">
        <v>0</v>
      </c>
      <c r="T174" s="53">
        <v>1</v>
      </c>
      <c r="U174" s="4">
        <f>SUM(U175:U178)</f>
        <v>507042.64</v>
      </c>
      <c r="V174" s="49">
        <f t="shared" si="22"/>
        <v>0</v>
      </c>
      <c r="W174" s="85"/>
    </row>
    <row r="175" spans="1:28" s="60" customFormat="1">
      <c r="A175" s="54"/>
      <c r="B175" s="55"/>
      <c r="C175" s="95" t="s">
        <v>28</v>
      </c>
      <c r="D175" s="18">
        <v>1563914</v>
      </c>
      <c r="E175" s="17">
        <v>1474000</v>
      </c>
      <c r="F175" s="18">
        <v>5000000</v>
      </c>
      <c r="G175" s="18">
        <f t="shared" si="21"/>
        <v>3526000</v>
      </c>
      <c r="H175" s="18">
        <v>5000000</v>
      </c>
      <c r="I175" s="18">
        <v>5000000</v>
      </c>
      <c r="J175" s="18"/>
      <c r="K175" s="18"/>
      <c r="L175" s="18"/>
      <c r="M175" s="18"/>
      <c r="N175" s="18">
        <v>5000000</v>
      </c>
      <c r="O175" s="18">
        <v>5000000</v>
      </c>
      <c r="P175" s="18">
        <v>80024.22</v>
      </c>
      <c r="Q175" s="18">
        <v>80024.22</v>
      </c>
      <c r="R175" s="18">
        <v>80024.22</v>
      </c>
      <c r="S175" s="10">
        <v>0</v>
      </c>
      <c r="T175" s="57">
        <v>1</v>
      </c>
      <c r="U175" s="18">
        <v>80024.22</v>
      </c>
      <c r="V175" s="58">
        <f t="shared" si="22"/>
        <v>0</v>
      </c>
      <c r="W175" s="85"/>
      <c r="AB175" s="54"/>
    </row>
    <row r="176" spans="1:28" s="60" customFormat="1">
      <c r="A176" s="54"/>
      <c r="B176" s="55"/>
      <c r="C176" s="95" t="s">
        <v>29</v>
      </c>
      <c r="D176" s="18">
        <v>3140000</v>
      </c>
      <c r="E176" s="17">
        <v>2600000</v>
      </c>
      <c r="F176" s="18">
        <v>3140000</v>
      </c>
      <c r="G176" s="18">
        <f t="shared" si="21"/>
        <v>540000</v>
      </c>
      <c r="H176" s="18">
        <v>3140000</v>
      </c>
      <c r="I176" s="18"/>
      <c r="J176" s="18"/>
      <c r="K176" s="18"/>
      <c r="L176" s="18"/>
      <c r="M176" s="18"/>
      <c r="N176" s="18">
        <v>1000000</v>
      </c>
      <c r="O176" s="18"/>
      <c r="P176" s="18">
        <v>210791.76</v>
      </c>
      <c r="Q176" s="18">
        <v>210791.76</v>
      </c>
      <c r="R176" s="18">
        <v>210791.76</v>
      </c>
      <c r="S176" s="10">
        <v>0</v>
      </c>
      <c r="T176" s="57">
        <v>1</v>
      </c>
      <c r="U176" s="18">
        <v>210791.76</v>
      </c>
      <c r="V176" s="58">
        <f t="shared" si="22"/>
        <v>0</v>
      </c>
      <c r="W176" s="85"/>
      <c r="AB176" s="54"/>
    </row>
    <row r="177" spans="1:28" s="60" customFormat="1">
      <c r="A177" s="54"/>
      <c r="B177" s="55"/>
      <c r="C177" s="95" t="s">
        <v>30</v>
      </c>
      <c r="D177" s="18">
        <v>1846800</v>
      </c>
      <c r="E177" s="17">
        <v>1846800</v>
      </c>
      <c r="F177" s="18">
        <v>1846800</v>
      </c>
      <c r="G177" s="18">
        <f t="shared" si="21"/>
        <v>0</v>
      </c>
      <c r="H177" s="18">
        <v>1846800</v>
      </c>
      <c r="I177" s="18"/>
      <c r="J177" s="18"/>
      <c r="K177" s="18"/>
      <c r="L177" s="18"/>
      <c r="M177" s="18"/>
      <c r="N177" s="18">
        <v>2146800</v>
      </c>
      <c r="O177" s="18"/>
      <c r="P177" s="18">
        <v>130290.96</v>
      </c>
      <c r="Q177" s="18">
        <v>130290.96</v>
      </c>
      <c r="R177" s="18">
        <v>130290.96</v>
      </c>
      <c r="S177" s="10">
        <v>0</v>
      </c>
      <c r="T177" s="57">
        <v>1</v>
      </c>
      <c r="U177" s="18">
        <v>130290.96</v>
      </c>
      <c r="V177" s="58">
        <f t="shared" si="22"/>
        <v>0</v>
      </c>
      <c r="W177" s="85"/>
      <c r="AB177" s="54"/>
    </row>
    <row r="178" spans="1:28" s="60" customFormat="1">
      <c r="A178" s="54"/>
      <c r="B178" s="55"/>
      <c r="C178" s="95" t="s">
        <v>34</v>
      </c>
      <c r="D178" s="18"/>
      <c r="E178" s="17">
        <v>200000</v>
      </c>
      <c r="F178" s="18">
        <v>200000</v>
      </c>
      <c r="G178" s="18"/>
      <c r="H178" s="18">
        <v>200000</v>
      </c>
      <c r="I178" s="18">
        <v>200000</v>
      </c>
      <c r="J178" s="18"/>
      <c r="K178" s="18"/>
      <c r="L178" s="18"/>
      <c r="M178" s="18"/>
      <c r="N178" s="18">
        <v>200000</v>
      </c>
      <c r="O178" s="18"/>
      <c r="P178" s="18">
        <v>85935.7</v>
      </c>
      <c r="Q178" s="18">
        <v>85935.7</v>
      </c>
      <c r="R178" s="18">
        <v>85935.7</v>
      </c>
      <c r="S178" s="10">
        <v>0</v>
      </c>
      <c r="T178" s="57">
        <v>1</v>
      </c>
      <c r="U178" s="18">
        <v>85935.7</v>
      </c>
      <c r="V178" s="58">
        <f t="shared" si="22"/>
        <v>0</v>
      </c>
      <c r="W178" s="85"/>
      <c r="AB178" s="54"/>
    </row>
    <row r="179" spans="1:28" s="60" customFormat="1" ht="57">
      <c r="A179" s="54"/>
      <c r="B179" s="51" t="s">
        <v>237</v>
      </c>
      <c r="C179" s="26" t="s">
        <v>62</v>
      </c>
      <c r="D179" s="18"/>
      <c r="E179" s="17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>
        <f>SUM(P180:P183)</f>
        <v>7429363</v>
      </c>
      <c r="Q179" s="18">
        <v>7429363</v>
      </c>
      <c r="R179" s="18">
        <v>7429363</v>
      </c>
      <c r="S179" s="9">
        <v>0</v>
      </c>
      <c r="T179" s="53">
        <v>1</v>
      </c>
      <c r="U179" s="18">
        <f>SUM(U180:U183)</f>
        <v>7429363</v>
      </c>
      <c r="V179" s="49">
        <f t="shared" si="22"/>
        <v>0</v>
      </c>
      <c r="W179" s="85"/>
      <c r="AB179" s="54"/>
    </row>
    <row r="180" spans="1:28" s="60" customFormat="1">
      <c r="A180" s="54"/>
      <c r="B180" s="55"/>
      <c r="C180" s="95" t="s">
        <v>31</v>
      </c>
      <c r="D180" s="18"/>
      <c r="E180" s="17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>
        <v>2782563</v>
      </c>
      <c r="Q180" s="18">
        <v>2782563</v>
      </c>
      <c r="R180" s="18">
        <v>2782563</v>
      </c>
      <c r="S180" s="10">
        <v>0</v>
      </c>
      <c r="T180" s="57">
        <v>1</v>
      </c>
      <c r="U180" s="18">
        <v>2782563</v>
      </c>
      <c r="V180" s="58">
        <f t="shared" si="22"/>
        <v>0</v>
      </c>
      <c r="W180" s="85"/>
      <c r="AB180" s="54"/>
    </row>
    <row r="181" spans="1:28" s="60" customFormat="1">
      <c r="A181" s="54"/>
      <c r="B181" s="55"/>
      <c r="C181" s="95" t="s">
        <v>24</v>
      </c>
      <c r="D181" s="18"/>
      <c r="E181" s="17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>
        <v>2000000</v>
      </c>
      <c r="Q181" s="18">
        <v>2000000</v>
      </c>
      <c r="R181" s="18">
        <v>2000000</v>
      </c>
      <c r="S181" s="10">
        <v>0</v>
      </c>
      <c r="T181" s="57">
        <v>1</v>
      </c>
      <c r="U181" s="18">
        <v>2000000</v>
      </c>
      <c r="V181" s="58">
        <f t="shared" si="22"/>
        <v>0</v>
      </c>
      <c r="W181" s="85"/>
      <c r="AB181" s="54"/>
    </row>
    <row r="182" spans="1:28" s="60" customFormat="1">
      <c r="A182" s="54"/>
      <c r="B182" s="55"/>
      <c r="C182" s="95" t="s">
        <v>25</v>
      </c>
      <c r="D182" s="18"/>
      <c r="E182" s="17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>
        <v>2446800</v>
      </c>
      <c r="Q182" s="18">
        <v>2446800</v>
      </c>
      <c r="R182" s="18">
        <v>2446800</v>
      </c>
      <c r="S182" s="10">
        <v>0</v>
      </c>
      <c r="T182" s="57">
        <v>1</v>
      </c>
      <c r="U182" s="18">
        <v>2446800</v>
      </c>
      <c r="V182" s="58">
        <f t="shared" si="22"/>
        <v>0</v>
      </c>
      <c r="W182" s="85"/>
      <c r="AB182" s="54"/>
    </row>
    <row r="183" spans="1:28" s="60" customFormat="1">
      <c r="A183" s="54"/>
      <c r="B183" s="55"/>
      <c r="C183" s="95" t="s">
        <v>28</v>
      </c>
      <c r="D183" s="18"/>
      <c r="E183" s="17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>
        <v>200000</v>
      </c>
      <c r="Q183" s="18">
        <v>200000</v>
      </c>
      <c r="R183" s="18">
        <v>200000</v>
      </c>
      <c r="S183" s="10">
        <v>0</v>
      </c>
      <c r="T183" s="57">
        <v>1</v>
      </c>
      <c r="U183" s="18">
        <v>200000</v>
      </c>
      <c r="V183" s="58">
        <f t="shared" si="22"/>
        <v>0</v>
      </c>
      <c r="W183" s="85"/>
      <c r="AB183" s="54"/>
    </row>
    <row r="184" spans="1:28" ht="63" customHeight="1">
      <c r="B184" s="51" t="s">
        <v>237</v>
      </c>
      <c r="C184" s="27" t="s">
        <v>264</v>
      </c>
      <c r="D184" s="22"/>
      <c r="E184" s="22"/>
      <c r="F184" s="22" t="e">
        <f>#REF!+F186</f>
        <v>#REF!</v>
      </c>
      <c r="G184" s="22" t="e">
        <f>#REF!</f>
        <v>#REF!</v>
      </c>
      <c r="H184" s="22" t="e">
        <f>#REF!+H186</f>
        <v>#REF!</v>
      </c>
      <c r="I184" s="22" t="e">
        <f>#REF!</f>
        <v>#REF!</v>
      </c>
      <c r="J184" s="22"/>
      <c r="K184" s="22"/>
      <c r="L184" s="22"/>
      <c r="M184" s="22"/>
      <c r="N184" s="22">
        <v>135000</v>
      </c>
      <c r="O184" s="22">
        <f>SUM(O185:O186)</f>
        <v>15000</v>
      </c>
      <c r="P184" s="22">
        <f>SUM(P185:P186)</f>
        <v>105000</v>
      </c>
      <c r="Q184" s="22">
        <v>105000</v>
      </c>
      <c r="R184" s="22">
        <v>105000</v>
      </c>
      <c r="S184" s="9">
        <v>0</v>
      </c>
      <c r="T184" s="53">
        <v>1</v>
      </c>
      <c r="U184" s="22">
        <f>SUM(U185:U186)</f>
        <v>105000</v>
      </c>
      <c r="V184" s="49">
        <f t="shared" si="22"/>
        <v>0</v>
      </c>
      <c r="W184" s="85"/>
    </row>
    <row r="185" spans="1:28" s="60" customFormat="1" ht="17.25" customHeight="1">
      <c r="A185" s="54"/>
      <c r="B185" s="55"/>
      <c r="C185" s="95" t="s">
        <v>24</v>
      </c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>
        <v>90000</v>
      </c>
      <c r="Q185" s="18">
        <v>90000</v>
      </c>
      <c r="R185" s="18">
        <v>90000</v>
      </c>
      <c r="S185" s="10">
        <v>0</v>
      </c>
      <c r="T185" s="57">
        <v>1</v>
      </c>
      <c r="U185" s="18">
        <v>90000</v>
      </c>
      <c r="V185" s="58">
        <f t="shared" si="22"/>
        <v>0</v>
      </c>
      <c r="W185" s="85"/>
      <c r="AB185" s="54"/>
    </row>
    <row r="186" spans="1:28" s="60" customFormat="1">
      <c r="A186" s="54"/>
      <c r="B186" s="55"/>
      <c r="C186" s="96" t="s">
        <v>25</v>
      </c>
      <c r="D186" s="18"/>
      <c r="E186" s="18"/>
      <c r="F186" s="18">
        <v>90000</v>
      </c>
      <c r="G186" s="18"/>
      <c r="H186" s="18">
        <v>90000</v>
      </c>
      <c r="I186" s="18"/>
      <c r="J186" s="18"/>
      <c r="K186" s="18"/>
      <c r="L186" s="18"/>
      <c r="M186" s="18"/>
      <c r="N186" s="18">
        <v>45000</v>
      </c>
      <c r="O186" s="18">
        <v>15000</v>
      </c>
      <c r="P186" s="18">
        <v>15000</v>
      </c>
      <c r="Q186" s="18">
        <v>15000</v>
      </c>
      <c r="R186" s="18">
        <v>15000</v>
      </c>
      <c r="S186" s="10">
        <v>0</v>
      </c>
      <c r="T186" s="57">
        <v>1</v>
      </c>
      <c r="U186" s="18">
        <v>15000</v>
      </c>
      <c r="V186" s="58">
        <f t="shared" si="22"/>
        <v>0</v>
      </c>
      <c r="W186" s="85"/>
      <c r="AB186" s="54"/>
    </row>
    <row r="187" spans="1:28" s="60" customFormat="1" ht="71.25">
      <c r="A187" s="54"/>
      <c r="B187" s="51" t="s">
        <v>237</v>
      </c>
      <c r="C187" s="26" t="s">
        <v>265</v>
      </c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>
        <f>SUM(P188)</f>
        <v>2500000</v>
      </c>
      <c r="Q187" s="17">
        <v>2500000</v>
      </c>
      <c r="R187" s="17">
        <v>2500000</v>
      </c>
      <c r="S187" s="9">
        <v>0</v>
      </c>
      <c r="T187" s="53">
        <v>1</v>
      </c>
      <c r="U187" s="17">
        <f>SUM(U188)</f>
        <v>2500000</v>
      </c>
      <c r="V187" s="49">
        <f t="shared" si="22"/>
        <v>0</v>
      </c>
      <c r="W187" s="85"/>
      <c r="AB187" s="54"/>
    </row>
    <row r="188" spans="1:28" s="60" customFormat="1">
      <c r="A188" s="54"/>
      <c r="B188" s="55"/>
      <c r="C188" s="95" t="s">
        <v>31</v>
      </c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>
        <v>2500000</v>
      </c>
      <c r="Q188" s="17">
        <v>2500000</v>
      </c>
      <c r="R188" s="17">
        <v>2500000</v>
      </c>
      <c r="S188" s="10">
        <v>0</v>
      </c>
      <c r="T188" s="57">
        <v>1</v>
      </c>
      <c r="U188" s="17">
        <v>2500000</v>
      </c>
      <c r="V188" s="58">
        <f t="shared" si="22"/>
        <v>0</v>
      </c>
      <c r="W188" s="85"/>
      <c r="AB188" s="54"/>
    </row>
    <row r="189" spans="1:28" s="60" customFormat="1" ht="30">
      <c r="A189" s="54"/>
      <c r="B189" s="41" t="s">
        <v>269</v>
      </c>
      <c r="C189" s="97" t="s">
        <v>270</v>
      </c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>
        <v>1191352</v>
      </c>
      <c r="Q189" s="15">
        <v>1191352</v>
      </c>
      <c r="R189" s="15">
        <v>1191352</v>
      </c>
      <c r="S189" s="7">
        <v>0</v>
      </c>
      <c r="T189" s="43">
        <v>1</v>
      </c>
      <c r="U189" s="15">
        <v>1191352</v>
      </c>
      <c r="V189" s="44">
        <f t="shared" si="22"/>
        <v>0</v>
      </c>
      <c r="W189" s="85"/>
      <c r="AB189" s="54"/>
    </row>
    <row r="190" spans="1:28" ht="30">
      <c r="B190" s="41" t="s">
        <v>242</v>
      </c>
      <c r="C190" s="24" t="s">
        <v>79</v>
      </c>
      <c r="D190" s="4"/>
      <c r="E190" s="4"/>
      <c r="F190" s="4">
        <f>F191</f>
        <v>0</v>
      </c>
      <c r="G190" s="4">
        <f>G191</f>
        <v>90001</v>
      </c>
      <c r="H190" s="4">
        <f>H191</f>
        <v>0</v>
      </c>
      <c r="I190" s="4"/>
      <c r="J190" s="4"/>
      <c r="K190" s="4"/>
      <c r="L190" s="4"/>
      <c r="M190" s="4"/>
      <c r="N190" s="15">
        <f>172618100+682600+617018</f>
        <v>173917718</v>
      </c>
      <c r="O190" s="15">
        <f>61165100+721636.64</f>
        <v>61886736.640000001</v>
      </c>
      <c r="P190" s="15">
        <f>257959400+5311669.16+119850+113400+101000+250000+1813601.61+11902000</f>
        <v>277570920.76999998</v>
      </c>
      <c r="Q190" s="15">
        <v>277570920.76999998</v>
      </c>
      <c r="R190" s="15">
        <v>277500520.76999998</v>
      </c>
      <c r="S190" s="7">
        <v>-70400</v>
      </c>
      <c r="T190" s="43">
        <v>0.99974637112632436</v>
      </c>
      <c r="U190" s="15">
        <f>257959400+5311669.16+119850+113400+101000+250000+1813601.61+11902000</f>
        <v>277570920.76999998</v>
      </c>
      <c r="V190" s="44">
        <f t="shared" si="22"/>
        <v>0</v>
      </c>
      <c r="W190" s="85"/>
    </row>
    <row r="191" spans="1:28" s="101" customFormat="1" ht="33" customHeight="1">
      <c r="A191" s="98"/>
      <c r="B191" s="115" t="s">
        <v>243</v>
      </c>
      <c r="C191" s="116" t="s">
        <v>75</v>
      </c>
      <c r="D191" s="23"/>
      <c r="E191" s="23"/>
      <c r="F191" s="23"/>
      <c r="G191" s="23">
        <v>90001</v>
      </c>
      <c r="H191" s="23"/>
      <c r="I191" s="23"/>
      <c r="J191" s="23"/>
      <c r="K191" s="23"/>
      <c r="L191" s="23"/>
      <c r="M191" s="23"/>
      <c r="N191" s="117">
        <v>73666779.799999997</v>
      </c>
      <c r="O191" s="118">
        <v>80163470.969999999</v>
      </c>
      <c r="P191" s="117">
        <v>67318704.659999996</v>
      </c>
      <c r="Q191" s="117">
        <v>67318704.659999996</v>
      </c>
      <c r="R191" s="118">
        <v>67318704.659999996</v>
      </c>
      <c r="S191" s="119">
        <v>0</v>
      </c>
      <c r="T191" s="120">
        <v>1</v>
      </c>
      <c r="U191" s="28">
        <v>67318704.659999996</v>
      </c>
      <c r="V191" s="99">
        <f t="shared" si="22"/>
        <v>0</v>
      </c>
      <c r="W191" s="100"/>
      <c r="AB191" s="98"/>
    </row>
    <row r="192" spans="1:28" s="103" customFormat="1" ht="32.25" customHeight="1">
      <c r="A192" s="102"/>
      <c r="B192" s="115" t="s">
        <v>244</v>
      </c>
      <c r="C192" s="116" t="s">
        <v>76</v>
      </c>
      <c r="D192" s="118">
        <v>122330000</v>
      </c>
      <c r="E192" s="118">
        <v>214792931.24000001</v>
      </c>
      <c r="F192" s="118">
        <f>203326400+1060200+39800</f>
        <v>204426400</v>
      </c>
      <c r="G192" s="118">
        <f t="shared" si="21"/>
        <v>-10366531.24000001</v>
      </c>
      <c r="H192" s="118">
        <v>204381800</v>
      </c>
      <c r="I192" s="118">
        <v>106481820</v>
      </c>
      <c r="J192" s="118"/>
      <c r="K192" s="118"/>
      <c r="L192" s="118"/>
      <c r="M192" s="118"/>
      <c r="N192" s="118">
        <v>1315773.0900000001</v>
      </c>
      <c r="O192" s="118">
        <v>1315773.0900000001</v>
      </c>
      <c r="P192" s="118">
        <v>12560777.75</v>
      </c>
      <c r="Q192" s="118">
        <v>12560777.75</v>
      </c>
      <c r="R192" s="118">
        <v>12560777.75</v>
      </c>
      <c r="S192" s="119">
        <v>0</v>
      </c>
      <c r="T192" s="120">
        <v>1</v>
      </c>
      <c r="U192" s="29">
        <v>12560777.75</v>
      </c>
      <c r="V192" s="99">
        <f t="shared" si="22"/>
        <v>0</v>
      </c>
      <c r="W192" s="100"/>
      <c r="AB192" s="104"/>
    </row>
    <row r="193" spans="1:28" s="103" customFormat="1" ht="33" customHeight="1">
      <c r="A193" s="102"/>
      <c r="B193" s="115" t="s">
        <v>275</v>
      </c>
      <c r="C193" s="116" t="s">
        <v>155</v>
      </c>
      <c r="D193" s="118"/>
      <c r="E193" s="118"/>
      <c r="F193" s="118"/>
      <c r="G193" s="118"/>
      <c r="H193" s="118"/>
      <c r="I193" s="118"/>
      <c r="J193" s="118"/>
      <c r="K193" s="118"/>
      <c r="L193" s="118"/>
      <c r="M193" s="118"/>
      <c r="N193" s="118"/>
      <c r="O193" s="118"/>
      <c r="P193" s="118">
        <f>22476.2+0.04</f>
        <v>22476.240000000002</v>
      </c>
      <c r="Q193" s="118">
        <v>22476.240000000002</v>
      </c>
      <c r="R193" s="118">
        <v>22476.240000000002</v>
      </c>
      <c r="S193" s="119">
        <v>0</v>
      </c>
      <c r="T193" s="120">
        <v>1</v>
      </c>
      <c r="U193" s="29">
        <f>22476.2+0.04</f>
        <v>22476.240000000002</v>
      </c>
      <c r="V193" s="99">
        <f t="shared" si="22"/>
        <v>0</v>
      </c>
      <c r="W193" s="100"/>
      <c r="AB193" s="104"/>
    </row>
    <row r="194" spans="1:28" s="46" customFormat="1" ht="75">
      <c r="A194" s="38"/>
      <c r="B194" s="41" t="s">
        <v>251</v>
      </c>
      <c r="C194" s="25" t="s">
        <v>252</v>
      </c>
      <c r="D194" s="15"/>
      <c r="E194" s="15">
        <v>56828664.210000001</v>
      </c>
      <c r="F194" s="15">
        <v>23864455.039999999</v>
      </c>
      <c r="G194" s="15">
        <f t="shared" si="21"/>
        <v>-32964209.170000002</v>
      </c>
      <c r="H194" s="15">
        <v>23864455.039999999</v>
      </c>
      <c r="I194" s="15">
        <v>23864455.039999999</v>
      </c>
      <c r="J194" s="15"/>
      <c r="K194" s="15"/>
      <c r="L194" s="15"/>
      <c r="M194" s="15"/>
      <c r="N194" s="15">
        <f>M194+L194</f>
        <v>0</v>
      </c>
      <c r="O194" s="15"/>
      <c r="P194" s="15">
        <v>3287098.7</v>
      </c>
      <c r="Q194" s="15">
        <v>3287098.7</v>
      </c>
      <c r="R194" s="15">
        <v>3287098.7</v>
      </c>
      <c r="S194" s="7">
        <v>0</v>
      </c>
      <c r="T194" s="43">
        <v>1</v>
      </c>
      <c r="U194" s="15">
        <v>3287098.7</v>
      </c>
      <c r="V194" s="44">
        <f t="shared" si="22"/>
        <v>0</v>
      </c>
      <c r="W194" s="85"/>
      <c r="AB194" s="30"/>
    </row>
    <row r="195" spans="1:28" s="46" customFormat="1" ht="60">
      <c r="A195" s="38"/>
      <c r="B195" s="41" t="s">
        <v>245</v>
      </c>
      <c r="C195" s="25" t="s">
        <v>58</v>
      </c>
      <c r="D195" s="7"/>
      <c r="E195" s="7">
        <v>11024630.85</v>
      </c>
      <c r="F195" s="7">
        <v>1112878.79</v>
      </c>
      <c r="G195" s="7">
        <f t="shared" si="21"/>
        <v>-9911752.0599999987</v>
      </c>
      <c r="H195" s="7">
        <v>1112878.79</v>
      </c>
      <c r="I195" s="7">
        <v>1112878.79</v>
      </c>
      <c r="J195" s="7"/>
      <c r="K195" s="7"/>
      <c r="L195" s="7"/>
      <c r="M195" s="7"/>
      <c r="N195" s="7">
        <v>114653679.36</v>
      </c>
      <c r="O195" s="7">
        <f>114653678.96+0.4</f>
        <v>114653679.36</v>
      </c>
      <c r="P195" s="7">
        <f>116923958.26+6948277.23+304491.27</f>
        <v>124176726.76000001</v>
      </c>
      <c r="Q195" s="7">
        <v>124176726.76000001</v>
      </c>
      <c r="R195" s="7">
        <v>127160489.74999999</v>
      </c>
      <c r="S195" s="7">
        <v>2983762.9899999797</v>
      </c>
      <c r="T195" s="43">
        <v>1.0240283591607853</v>
      </c>
      <c r="U195" s="7">
        <v>127160489.75</v>
      </c>
      <c r="V195" s="44">
        <f t="shared" si="22"/>
        <v>2983762.9899999946</v>
      </c>
      <c r="W195" s="85"/>
      <c r="AB195" s="30"/>
    </row>
    <row r="196" spans="1:28" s="46" customFormat="1" ht="45">
      <c r="A196" s="38"/>
      <c r="B196" s="41" t="s">
        <v>282</v>
      </c>
      <c r="C196" s="25" t="s">
        <v>283</v>
      </c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>
        <v>-305252.67</v>
      </c>
      <c r="S196" s="7">
        <v>-305252.67</v>
      </c>
      <c r="T196" s="43"/>
      <c r="U196" s="7">
        <v>-305252.67</v>
      </c>
      <c r="V196" s="44">
        <f t="shared" si="22"/>
        <v>-305252.67</v>
      </c>
      <c r="W196" s="85"/>
      <c r="AB196" s="30"/>
    </row>
    <row r="197" spans="1:28" s="46" customFormat="1" ht="63.75" customHeight="1">
      <c r="A197" s="38"/>
      <c r="B197" s="41" t="s">
        <v>249</v>
      </c>
      <c r="C197" s="25" t="s">
        <v>253</v>
      </c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>
        <v>-3287098.7</v>
      </c>
      <c r="Q197" s="7">
        <v>-3287098.7</v>
      </c>
      <c r="R197" s="7">
        <v>-3287098.7</v>
      </c>
      <c r="S197" s="7">
        <v>0</v>
      </c>
      <c r="T197" s="43">
        <v>1</v>
      </c>
      <c r="U197" s="7">
        <v>-3287098.7</v>
      </c>
      <c r="V197" s="44">
        <f t="shared" si="22"/>
        <v>0</v>
      </c>
      <c r="W197" s="85"/>
      <c r="AB197" s="30"/>
    </row>
    <row r="198" spans="1:28" s="46" customFormat="1" ht="60">
      <c r="A198" s="38"/>
      <c r="B198" s="41" t="s">
        <v>250</v>
      </c>
      <c r="C198" s="25" t="s">
        <v>254</v>
      </c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>
        <v>-12897.1</v>
      </c>
      <c r="Q198" s="7">
        <v>-12897.1</v>
      </c>
      <c r="R198" s="7">
        <v>-12897.1</v>
      </c>
      <c r="S198" s="7">
        <v>0</v>
      </c>
      <c r="T198" s="43">
        <v>1</v>
      </c>
      <c r="U198" s="7">
        <v>-12897.1</v>
      </c>
      <c r="V198" s="44">
        <f t="shared" si="22"/>
        <v>0</v>
      </c>
      <c r="W198" s="85"/>
      <c r="AB198" s="30"/>
    </row>
    <row r="199" spans="1:28" s="46" customFormat="1" ht="45">
      <c r="A199" s="38"/>
      <c r="B199" s="41" t="s">
        <v>246</v>
      </c>
      <c r="C199" s="25" t="s">
        <v>59</v>
      </c>
      <c r="D199" s="7"/>
      <c r="E199" s="7">
        <v>3601311.96</v>
      </c>
      <c r="F199" s="7">
        <v>4319414.29</v>
      </c>
      <c r="G199" s="7">
        <f t="shared" si="21"/>
        <v>718102.33000000007</v>
      </c>
      <c r="H199" s="7">
        <v>4319414.29</v>
      </c>
      <c r="I199" s="7">
        <v>4319414.29</v>
      </c>
      <c r="J199" s="7"/>
      <c r="K199" s="7"/>
      <c r="L199" s="7"/>
      <c r="M199" s="7"/>
      <c r="N199" s="7">
        <v>-20696257.329999998</v>
      </c>
      <c r="O199" s="7">
        <f>16804715.04-3580177.5-0.4-488-14550.15-33546051.64-328651.08-31053.6</f>
        <v>-20696257.330000002</v>
      </c>
      <c r="P199" s="7">
        <f>1150003.35-21210667.82</f>
        <v>-20060664.469999999</v>
      </c>
      <c r="Q199" s="7">
        <v>-20060664.469999999</v>
      </c>
      <c r="R199" s="7">
        <v>-20060664.469999999</v>
      </c>
      <c r="S199" s="7">
        <v>0</v>
      </c>
      <c r="T199" s="43">
        <v>1</v>
      </c>
      <c r="U199" s="7">
        <f>-20223188.14+162523.67</f>
        <v>-20060664.469999999</v>
      </c>
      <c r="V199" s="44">
        <f t="shared" si="22"/>
        <v>0</v>
      </c>
      <c r="W199" s="85"/>
      <c r="AB199" s="30"/>
    </row>
    <row r="200" spans="1:28" ht="21" customHeight="1">
      <c r="B200" s="48"/>
      <c r="C200" s="105" t="s">
        <v>7</v>
      </c>
      <c r="D200" s="49">
        <v>4079474753.77</v>
      </c>
      <c r="E200" s="49"/>
      <c r="F200" s="49"/>
      <c r="G200" s="49"/>
      <c r="H200" s="9"/>
      <c r="I200" s="9"/>
      <c r="J200" s="9"/>
      <c r="K200" s="9"/>
      <c r="L200" s="9"/>
      <c r="M200" s="9"/>
      <c r="N200" s="7" t="e">
        <f>N81+N82</f>
        <v>#REF!</v>
      </c>
      <c r="O200" s="7" t="e">
        <f>O81+O82</f>
        <v>#REF!</v>
      </c>
      <c r="P200" s="7">
        <f>P81+P82</f>
        <v>4872006778.4300003</v>
      </c>
      <c r="Q200" s="7">
        <v>4961050537.8299999</v>
      </c>
      <c r="R200" s="7">
        <v>5084873949.4200001</v>
      </c>
      <c r="S200" s="7">
        <v>123823411.59000015</v>
      </c>
      <c r="T200" s="43">
        <v>1.0249591111087857</v>
      </c>
      <c r="U200" s="7">
        <f>U81+U82</f>
        <v>4914661028.1100006</v>
      </c>
      <c r="V200" s="44">
        <f t="shared" si="22"/>
        <v>42654249.680000305</v>
      </c>
      <c r="W200" s="85"/>
    </row>
    <row r="201" spans="1:28" ht="15">
      <c r="C201" s="106"/>
      <c r="K201" s="20"/>
      <c r="L201" s="20"/>
      <c r="M201" s="20"/>
      <c r="N201" s="20"/>
      <c r="O201" s="20"/>
      <c r="P201" s="107"/>
      <c r="Q201" s="108"/>
      <c r="R201" s="109"/>
      <c r="S201" s="110"/>
      <c r="T201" s="111"/>
      <c r="U201" s="79"/>
      <c r="V201" s="112"/>
    </row>
    <row r="202" spans="1:28">
      <c r="C202" s="106"/>
      <c r="K202" s="20"/>
      <c r="L202" s="20"/>
      <c r="M202" s="20"/>
      <c r="N202" s="20"/>
      <c r="O202" s="20"/>
      <c r="P202" s="20"/>
      <c r="Q202" s="20"/>
      <c r="R202" s="20"/>
      <c r="S202" s="20"/>
      <c r="T202" s="111"/>
      <c r="U202" s="79"/>
      <c r="V202" s="79"/>
    </row>
    <row r="203" spans="1:28">
      <c r="S203" s="20"/>
      <c r="T203" s="111"/>
      <c r="U203" s="79"/>
      <c r="V203" s="79"/>
    </row>
    <row r="204" spans="1:28" ht="15">
      <c r="B204" s="2"/>
      <c r="C204" s="1"/>
      <c r="D204" s="3"/>
      <c r="E204" s="3"/>
      <c r="P204" s="113"/>
      <c r="S204" s="20"/>
      <c r="T204" s="113"/>
      <c r="U204" s="79"/>
      <c r="V204" s="79"/>
    </row>
    <row r="205" spans="1:28" ht="15">
      <c r="B205" s="2"/>
      <c r="C205" s="1"/>
      <c r="D205" s="3"/>
      <c r="E205" s="3"/>
      <c r="P205" s="114"/>
    </row>
    <row r="206" spans="1:28" ht="15">
      <c r="B206" s="2"/>
      <c r="C206" s="1"/>
      <c r="D206" s="3"/>
      <c r="E206" s="3"/>
      <c r="P206" s="114"/>
    </row>
    <row r="207" spans="1:28" ht="15">
      <c r="B207" s="2"/>
      <c r="C207" s="1"/>
      <c r="D207" s="3"/>
      <c r="E207" s="3"/>
      <c r="P207" s="113"/>
      <c r="T207" s="113"/>
    </row>
  </sheetData>
  <mergeCells count="3">
    <mergeCell ref="B7:T7"/>
    <mergeCell ref="R2:T2"/>
    <mergeCell ref="Q4:T4"/>
  </mergeCells>
  <printOptions horizontalCentered="1"/>
  <pageMargins left="0.19685039370078741" right="0.15748031496062992" top="0.47244094488188981" bottom="0.47244094488188981" header="0.19685039370078741" footer="0.19685039370078741"/>
  <pageSetup paperSize="9" scale="60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</vt:lpstr>
      <vt:lpstr>'Приложение №2'!Заголовки_для_печати</vt:lpstr>
      <vt:lpstr>'Приложение №2'!Область_печати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Солопова</cp:lastModifiedBy>
  <cp:lastPrinted>2020-03-04T00:13:06Z</cp:lastPrinted>
  <dcterms:created xsi:type="dcterms:W3CDTF">1999-09-01T00:19:55Z</dcterms:created>
  <dcterms:modified xsi:type="dcterms:W3CDTF">2020-03-24T23:44:09Z</dcterms:modified>
</cp:coreProperties>
</file>