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275" firstSheet="3" activeTab="7"/>
  </bookViews>
  <sheets>
    <sheet name="Приложение 1 Доходы 2023" sheetId="1" r:id="rId1"/>
    <sheet name="Приложение 2 МП" sheetId="4" r:id="rId2"/>
    <sheet name="Приложение 3 непрограммные" sheetId="6" r:id="rId3"/>
    <sheet name="Приложение 4 Расходы" sheetId="5" r:id="rId4"/>
    <sheet name="Приложение № 5" sheetId="7" r:id="rId5"/>
    <sheet name="Приложение 6" sheetId="9" r:id="rId6"/>
    <sheet name="Приложение 7" sheetId="8" r:id="rId7"/>
    <sheet name="По решению МРСД" sheetId="3" r:id="rId8"/>
  </sheets>
  <externalReferences>
    <externalReference r:id="rId9"/>
  </externalReferences>
  <definedNames>
    <definedName name="_xlnm.Print_Titles" localSheetId="0">'Приложение 1 Доходы 2023'!$9:$9</definedName>
    <definedName name="_xlnm.Print_Area" localSheetId="0">'Приложение 1 Доходы 2023'!$A$1:$E$96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250" i="5" l="1"/>
  <c r="C17" i="8" l="1"/>
  <c r="D15" i="8"/>
  <c r="C13" i="8"/>
  <c r="C12" i="8" s="1"/>
  <c r="H15" i="9"/>
  <c r="H12" i="9" s="1"/>
  <c r="I12" i="9"/>
  <c r="H80" i="7"/>
  <c r="F286" i="7"/>
  <c r="H248" i="7"/>
  <c r="G248" i="7"/>
  <c r="G246" i="7"/>
  <c r="G245" i="7" s="1"/>
  <c r="G241" i="7" s="1"/>
  <c r="G240" i="7" s="1"/>
  <c r="G239" i="7"/>
  <c r="H237" i="7"/>
  <c r="G237" i="7"/>
  <c r="H235" i="7"/>
  <c r="G235" i="7"/>
  <c r="G226" i="7"/>
  <c r="H224" i="7"/>
  <c r="G224" i="7"/>
  <c r="H223" i="7"/>
  <c r="H222" i="7"/>
  <c r="G222" i="7"/>
  <c r="H221" i="7"/>
  <c r="H220" i="7" s="1"/>
  <c r="G221" i="7"/>
  <c r="G220" i="7" s="1"/>
  <c r="G215" i="7"/>
  <c r="G213" i="7"/>
  <c r="G209" i="7" s="1"/>
  <c r="G211" i="7"/>
  <c r="G210" i="7"/>
  <c r="G207" i="7"/>
  <c r="G187" i="7" s="1"/>
  <c r="G202" i="7"/>
  <c r="G186" i="7"/>
  <c r="G181" i="7" s="1"/>
  <c r="H181" i="7"/>
  <c r="G166" i="7"/>
  <c r="G165" i="7"/>
  <c r="H164" i="7"/>
  <c r="H161" i="7"/>
  <c r="G161" i="7"/>
  <c r="G160" i="7" s="1"/>
  <c r="H160" i="7"/>
  <c r="H159" i="7" s="1"/>
  <c r="H151" i="7"/>
  <c r="H146" i="7"/>
  <c r="G146" i="7"/>
  <c r="H145" i="7"/>
  <c r="H144" i="7"/>
  <c r="H143" i="7" s="1"/>
  <c r="G143" i="7"/>
  <c r="G141" i="7"/>
  <c r="G140" i="7" s="1"/>
  <c r="H140" i="7"/>
  <c r="G139" i="7"/>
  <c r="G138" i="7"/>
  <c r="G137" i="7"/>
  <c r="G133" i="7" s="1"/>
  <c r="G136" i="7"/>
  <c r="G135" i="7"/>
  <c r="G134" i="7"/>
  <c r="H133" i="7"/>
  <c r="H129" i="7"/>
  <c r="G129" i="7"/>
  <c r="G128" i="7" s="1"/>
  <c r="H128" i="7"/>
  <c r="H125" i="7"/>
  <c r="H124" i="7"/>
  <c r="H123" i="7" s="1"/>
  <c r="G124" i="7"/>
  <c r="G123" i="7"/>
  <c r="G112" i="7"/>
  <c r="G106" i="7" s="1"/>
  <c r="G105" i="7" s="1"/>
  <c r="H108" i="7"/>
  <c r="G104" i="7"/>
  <c r="H103" i="7"/>
  <c r="G102" i="7"/>
  <c r="H101" i="7"/>
  <c r="G101" i="7"/>
  <c r="G100" i="7" s="1"/>
  <c r="G99" i="7" s="1"/>
  <c r="H100" i="7"/>
  <c r="H96" i="7"/>
  <c r="H94" i="7" s="1"/>
  <c r="G96" i="7"/>
  <c r="G94" i="7"/>
  <c r="G93" i="7"/>
  <c r="G87" i="7"/>
  <c r="G85" i="7"/>
  <c r="G81" i="7"/>
  <c r="H79" i="7"/>
  <c r="H64" i="7" s="1"/>
  <c r="G79" i="7"/>
  <c r="G71" i="7"/>
  <c r="G70" i="7"/>
  <c r="G69" i="7" s="1"/>
  <c r="H69" i="7"/>
  <c r="G66" i="7"/>
  <c r="G65" i="7"/>
  <c r="H60" i="7"/>
  <c r="H59" i="7"/>
  <c r="H53" i="7" s="1"/>
  <c r="H52" i="7" s="1"/>
  <c r="G59" i="7"/>
  <c r="G56" i="7"/>
  <c r="G53" i="7"/>
  <c r="G52" i="7" s="1"/>
  <c r="H49" i="7"/>
  <c r="G49" i="7"/>
  <c r="G48" i="7" s="1"/>
  <c r="G47" i="7" s="1"/>
  <c r="G46" i="7" s="1"/>
  <c r="H48" i="7"/>
  <c r="H47" i="7" s="1"/>
  <c r="H46" i="7" s="1"/>
  <c r="H43" i="7"/>
  <c r="H42" i="7"/>
  <c r="G42" i="7"/>
  <c r="G39" i="7"/>
  <c r="H36" i="7"/>
  <c r="H35" i="7"/>
  <c r="H34" i="7"/>
  <c r="G34" i="7"/>
  <c r="H33" i="7"/>
  <c r="G33" i="7"/>
  <c r="G32" i="7"/>
  <c r="G30" i="7"/>
  <c r="H28" i="7"/>
  <c r="G28" i="7"/>
  <c r="H26" i="7"/>
  <c r="H25" i="7" s="1"/>
  <c r="G26" i="7"/>
  <c r="G25" i="7"/>
  <c r="H21" i="7"/>
  <c r="H20" i="7" s="1"/>
  <c r="G21" i="7"/>
  <c r="G20" i="7"/>
  <c r="H17" i="7"/>
  <c r="G17" i="7"/>
  <c r="G16" i="7"/>
  <c r="G15" i="7" s="1"/>
  <c r="AC107" i="5"/>
  <c r="H76" i="6"/>
  <c r="H73" i="6"/>
  <c r="H66" i="6"/>
  <c r="H62" i="6"/>
  <c r="H60" i="6"/>
  <c r="H58" i="6"/>
  <c r="H57" i="6"/>
  <c r="H56" i="6"/>
  <c r="H47" i="6"/>
  <c r="H45" i="6"/>
  <c r="H42" i="6"/>
  <c r="H41" i="6"/>
  <c r="H40" i="6" s="1"/>
  <c r="H37" i="6"/>
  <c r="H34" i="6"/>
  <c r="H32" i="6"/>
  <c r="J22" i="6"/>
  <c r="H19" i="6"/>
  <c r="H17" i="6"/>
  <c r="H15" i="6"/>
  <c r="H13" i="6"/>
  <c r="H12" i="6"/>
  <c r="H11" i="6"/>
  <c r="I10" i="6"/>
  <c r="O52" i="4"/>
  <c r="O48" i="4"/>
  <c r="O42" i="4"/>
  <c r="I42" i="4"/>
  <c r="O32" i="4"/>
  <c r="O30" i="4" s="1"/>
  <c r="O8" i="4" s="1"/>
  <c r="Q8" i="4" s="1"/>
  <c r="O26" i="4"/>
  <c r="O24" i="4"/>
  <c r="O19" i="4"/>
  <c r="O9" i="4"/>
  <c r="M8" i="4"/>
  <c r="L8" i="4"/>
  <c r="K8" i="4"/>
  <c r="J8" i="4"/>
  <c r="I8" i="4"/>
  <c r="H8" i="4"/>
  <c r="F14" i="8" l="1"/>
  <c r="D13" i="8"/>
  <c r="D14" i="8"/>
  <c r="G64" i="7"/>
  <c r="G164" i="7"/>
  <c r="G159" i="7" s="1"/>
  <c r="H16" i="7"/>
  <c r="H15" i="7" s="1"/>
  <c r="H99" i="7"/>
  <c r="H286" i="7" s="1"/>
  <c r="H10" i="6"/>
  <c r="J10" i="6" s="1"/>
  <c r="H289" i="7" l="1"/>
  <c r="I287" i="7"/>
  <c r="G14" i="7"/>
  <c r="G286" i="7" s="1"/>
  <c r="H14" i="7"/>
  <c r="D39" i="3" l="1"/>
  <c r="E39" i="3"/>
  <c r="E22" i="3" s="1"/>
  <c r="E21" i="3" s="1"/>
  <c r="D22" i="3"/>
  <c r="D21" i="3" s="1"/>
  <c r="C22" i="3"/>
  <c r="C21" i="3"/>
  <c r="C39" i="3"/>
  <c r="AB107" i="5"/>
  <c r="AA293" i="5"/>
  <c r="AB293" i="5"/>
  <c r="AA294" i="5"/>
  <c r="AB294" i="5"/>
  <c r="AC352" i="5"/>
  <c r="AC350" i="5"/>
  <c r="AC300" i="5"/>
  <c r="AC295" i="5"/>
  <c r="AB295" i="5" s="1"/>
  <c r="AB275" i="5"/>
  <c r="AB357" i="5"/>
  <c r="AC357" i="5"/>
  <c r="AB358" i="5"/>
  <c r="AC358" i="5"/>
  <c r="AB18" i="5"/>
  <c r="AB20" i="5"/>
  <c r="AB19" i="5" s="1"/>
  <c r="AC20" i="5"/>
  <c r="AB22" i="5"/>
  <c r="AC22" i="5"/>
  <c r="AC18" i="5" s="1"/>
  <c r="AC10" i="5"/>
  <c r="AB11" i="5"/>
  <c r="AB10" i="5" s="1"/>
  <c r="AC11" i="5"/>
  <c r="AB59" i="5"/>
  <c r="AC59" i="5"/>
  <c r="AB80" i="5"/>
  <c r="AC80" i="5"/>
  <c r="AB84" i="5"/>
  <c r="AC84" i="5"/>
  <c r="AB102" i="5"/>
  <c r="AC102" i="5"/>
  <c r="AC270" i="5"/>
  <c r="AC106" i="5"/>
  <c r="AB175" i="5"/>
  <c r="AB174" i="5"/>
  <c r="AB173" i="5" s="1"/>
  <c r="AC174" i="5"/>
  <c r="AC173" i="5" s="1"/>
  <c r="AC39" i="5"/>
  <c r="AA201" i="5"/>
  <c r="AA153" i="5"/>
  <c r="AC209" i="5"/>
  <c r="AC246" i="5"/>
  <c r="AC245" i="5" s="1"/>
  <c r="AB152" i="5"/>
  <c r="Q152" i="5"/>
  <c r="P152" i="5"/>
  <c r="Z152" i="5" s="1"/>
  <c r="O152" i="5"/>
  <c r="I152" i="5"/>
  <c r="N152" i="5" s="1"/>
  <c r="AA174" i="5"/>
  <c r="AC353" i="5"/>
  <c r="AC355" i="5"/>
  <c r="AC313" i="5"/>
  <c r="AC310" i="5"/>
  <c r="AC19" i="5" l="1"/>
  <c r="X152" i="5"/>
  <c r="AC290" i="5" l="1"/>
  <c r="AC284" i="5" s="1"/>
  <c r="AC272" i="5"/>
  <c r="AC271" i="5" s="1"/>
  <c r="AC261" i="5"/>
  <c r="AB261" i="5" s="1"/>
  <c r="AC244" i="5"/>
  <c r="AC243" i="5"/>
  <c r="AC242" i="5" s="1"/>
  <c r="AC235" i="5"/>
  <c r="AB235" i="5" s="1"/>
  <c r="AB234" i="5" s="1"/>
  <c r="AC223" i="5"/>
  <c r="AC221" i="5"/>
  <c r="AB221" i="5" s="1"/>
  <c r="AB206" i="5"/>
  <c r="AC81" i="5"/>
  <c r="AA59" i="5"/>
  <c r="AA84" i="5"/>
  <c r="AB87" i="5"/>
  <c r="Q87" i="5"/>
  <c r="P87" i="5"/>
  <c r="Z87" i="5" s="1"/>
  <c r="O87" i="5"/>
  <c r="I87" i="5"/>
  <c r="N87" i="5" s="1"/>
  <c r="AC31" i="5"/>
  <c r="AA394" i="5"/>
  <c r="AA393" i="5" s="1"/>
  <c r="AA392" i="5" s="1"/>
  <c r="AA391" i="5" s="1"/>
  <c r="AA386" i="5"/>
  <c r="AA385" i="5"/>
  <c r="AA384" i="5"/>
  <c r="AA376" i="5"/>
  <c r="AA375" i="5"/>
  <c r="AA374" i="5"/>
  <c r="AA369" i="5"/>
  <c r="AA367" i="5"/>
  <c r="AA365" i="5"/>
  <c r="Z365" i="5" s="1"/>
  <c r="AA361" i="5"/>
  <c r="AA358" i="5"/>
  <c r="AA355" i="5"/>
  <c r="AA350" i="5"/>
  <c r="Z350" i="5" s="1"/>
  <c r="AA339" i="5"/>
  <c r="AA337" i="5"/>
  <c r="AA332" i="5"/>
  <c r="AA329" i="5"/>
  <c r="AA326" i="5"/>
  <c r="AA320" i="5"/>
  <c r="AA313" i="5"/>
  <c r="AA311" i="5" s="1"/>
  <c r="AA310" i="5"/>
  <c r="AA307" i="5" s="1"/>
  <c r="AA304" i="5"/>
  <c r="AA303" i="5"/>
  <c r="AA299" i="5"/>
  <c r="AA297" i="5" s="1"/>
  <c r="AA287" i="5"/>
  <c r="AA284" i="5"/>
  <c r="AA280" i="5"/>
  <c r="AA279" i="5"/>
  <c r="AA276" i="5"/>
  <c r="Z276" i="5" s="1"/>
  <c r="AA275" i="5"/>
  <c r="AA271" i="5"/>
  <c r="AA270" i="5"/>
  <c r="AA269" i="5" s="1"/>
  <c r="AA263" i="5"/>
  <c r="AB263" i="5" s="1"/>
  <c r="AA260" i="5"/>
  <c r="AA250" i="5"/>
  <c r="AA246" i="5" s="1"/>
  <c r="AA245" i="5" s="1"/>
  <c r="AA242" i="5"/>
  <c r="AA241" i="5"/>
  <c r="AA240" i="5" s="1"/>
  <c r="AA234" i="5"/>
  <c r="AA227" i="5"/>
  <c r="AA226" i="5"/>
  <c r="AA223" i="5" s="1"/>
  <c r="AA220" i="5"/>
  <c r="AA216" i="5"/>
  <c r="AA211" i="5"/>
  <c r="AA209" i="5"/>
  <c r="AB209" i="5" s="1"/>
  <c r="AA208" i="5"/>
  <c r="AA207" i="5"/>
  <c r="AA205" i="5"/>
  <c r="AA199" i="5"/>
  <c r="AB199" i="5" s="1"/>
  <c r="AA191" i="5"/>
  <c r="AA187" i="5"/>
  <c r="AA173" i="5" s="1"/>
  <c r="AA178" i="5"/>
  <c r="AA169" i="5"/>
  <c r="AA167" i="5" s="1"/>
  <c r="AA164" i="5"/>
  <c r="AA156" i="5"/>
  <c r="Z156" i="5" s="1"/>
  <c r="AA148" i="5"/>
  <c r="AA144" i="5"/>
  <c r="AA140" i="5"/>
  <c r="AA137" i="5"/>
  <c r="AA136" i="5"/>
  <c r="AA135" i="5"/>
  <c r="AA134" i="5" s="1"/>
  <c r="AA133" i="5"/>
  <c r="AA132" i="5"/>
  <c r="AA124" i="5"/>
  <c r="AA119" i="5"/>
  <c r="AA114" i="5"/>
  <c r="AA108" i="5"/>
  <c r="Z108" i="5" s="1"/>
  <c r="AA106" i="5"/>
  <c r="Z106" i="5" s="1"/>
  <c r="AA103" i="5"/>
  <c r="AA102" i="5" s="1"/>
  <c r="AA100" i="5"/>
  <c r="AA96" i="5"/>
  <c r="AA94" i="5"/>
  <c r="AA92" i="5"/>
  <c r="AA81" i="5"/>
  <c r="AA75" i="5"/>
  <c r="AA72" i="5"/>
  <c r="AA57" i="5"/>
  <c r="AA53" i="5" s="1"/>
  <c r="AA48" i="5"/>
  <c r="AA47" i="5"/>
  <c r="AA43" i="5"/>
  <c r="AA42" i="5"/>
  <c r="AA39" i="5"/>
  <c r="AA38" i="5"/>
  <c r="AA22" i="5"/>
  <c r="AA18" i="5" s="1"/>
  <c r="AA20" i="5"/>
  <c r="AA11" i="5"/>
  <c r="AA10" i="5" s="1"/>
  <c r="AB395" i="5"/>
  <c r="AB396" i="5"/>
  <c r="AB397" i="5"/>
  <c r="AB388" i="5"/>
  <c r="AB389" i="5"/>
  <c r="AB390" i="5"/>
  <c r="AB387" i="5"/>
  <c r="AB383" i="5"/>
  <c r="AB382" i="5"/>
  <c r="AB377" i="5"/>
  <c r="AB362" i="5"/>
  <c r="AB363" i="5"/>
  <c r="AB364" i="5"/>
  <c r="AB366" i="5"/>
  <c r="AB368" i="5"/>
  <c r="AB370" i="5"/>
  <c r="AB371" i="5"/>
  <c r="AB351" i="5"/>
  <c r="AB352" i="5"/>
  <c r="AB353" i="5"/>
  <c r="AB354" i="5"/>
  <c r="AB355" i="5"/>
  <c r="AB356" i="5"/>
  <c r="AB338" i="5"/>
  <c r="AB334" i="5"/>
  <c r="AB333" i="5"/>
  <c r="AB305" i="5"/>
  <c r="AB306" i="5"/>
  <c r="AB308" i="5"/>
  <c r="AB309" i="5"/>
  <c r="AB312" i="5"/>
  <c r="AB314" i="5"/>
  <c r="AB302" i="5"/>
  <c r="AB296" i="5"/>
  <c r="AB298" i="5"/>
  <c r="AB300" i="5"/>
  <c r="AB286" i="5"/>
  <c r="AB288" i="5"/>
  <c r="AB289" i="5"/>
  <c r="AB291" i="5"/>
  <c r="AB292" i="5"/>
  <c r="AB285" i="5"/>
  <c r="AB277" i="5"/>
  <c r="AB278" i="5"/>
  <c r="AB281" i="5"/>
  <c r="AB282" i="5"/>
  <c r="AB283" i="5"/>
  <c r="AB262" i="5"/>
  <c r="AB264" i="5"/>
  <c r="AB265" i="5"/>
  <c r="AB248" i="5"/>
  <c r="AB249" i="5"/>
  <c r="AB251" i="5"/>
  <c r="AB252" i="5"/>
  <c r="AB253" i="5"/>
  <c r="AB254" i="5"/>
  <c r="AB255" i="5"/>
  <c r="AB256" i="5"/>
  <c r="AB257" i="5"/>
  <c r="AB258" i="5"/>
  <c r="AB247" i="5"/>
  <c r="AB243" i="5"/>
  <c r="AB242" i="5" s="1"/>
  <c r="AC394" i="5"/>
  <c r="AC393" i="5"/>
  <c r="AC392" i="5" s="1"/>
  <c r="AC391" i="5" s="1"/>
  <c r="AC386" i="5"/>
  <c r="AC385" i="5"/>
  <c r="AC384" i="5"/>
  <c r="AC376" i="5"/>
  <c r="AC375" i="5"/>
  <c r="AC374" i="5"/>
  <c r="AC369" i="5"/>
  <c r="AC367" i="5"/>
  <c r="AC365" i="5"/>
  <c r="AC361" i="5"/>
  <c r="AC349" i="5"/>
  <c r="AC339" i="5"/>
  <c r="AC336" i="5" s="1"/>
  <c r="AC335" i="5" s="1"/>
  <c r="AC332" i="5"/>
  <c r="AC329" i="5"/>
  <c r="AC326" i="5"/>
  <c r="AC325" i="5" s="1"/>
  <c r="AC320" i="5"/>
  <c r="AC311" i="5"/>
  <c r="AC307" i="5"/>
  <c r="AC304" i="5"/>
  <c r="AC303" i="5"/>
  <c r="AC299" i="5"/>
  <c r="AC287" i="5"/>
  <c r="AC280" i="5"/>
  <c r="AB280" i="5" s="1"/>
  <c r="AC279" i="5"/>
  <c r="AC276" i="5"/>
  <c r="AC269" i="5"/>
  <c r="AC241" i="5"/>
  <c r="AC227" i="5"/>
  <c r="AC216" i="5"/>
  <c r="AC211" i="5"/>
  <c r="AC208" i="5"/>
  <c r="AB208" i="5" s="1"/>
  <c r="AC207" i="5"/>
  <c r="AB207" i="5" s="1"/>
  <c r="AC201" i="5"/>
  <c r="AC198" i="5" s="1"/>
  <c r="AC197" i="5" s="1"/>
  <c r="AC191" i="5"/>
  <c r="AC187" i="5"/>
  <c r="AC178" i="5"/>
  <c r="AC169" i="5"/>
  <c r="AC167" i="5" s="1"/>
  <c r="AC164" i="5"/>
  <c r="AC161" i="5" s="1"/>
  <c r="AC156" i="5"/>
  <c r="AC153" i="5"/>
  <c r="AC148" i="5"/>
  <c r="AC144" i="5"/>
  <c r="AC140" i="5"/>
  <c r="AC137" i="5"/>
  <c r="AC136" i="5"/>
  <c r="AC135" i="5"/>
  <c r="AC133" i="5"/>
  <c r="AC132" i="5"/>
  <c r="AB132" i="5" s="1"/>
  <c r="AC124" i="5"/>
  <c r="AC119" i="5"/>
  <c r="AC114" i="5"/>
  <c r="AC108" i="5"/>
  <c r="AC105" i="5"/>
  <c r="AC103" i="5"/>
  <c r="AC100" i="5"/>
  <c r="AC96" i="5"/>
  <c r="AC94" i="5"/>
  <c r="AC92" i="5"/>
  <c r="AC75" i="5"/>
  <c r="AC72" i="5"/>
  <c r="AC57" i="5"/>
  <c r="AC48" i="5"/>
  <c r="AC42" i="5"/>
  <c r="AB229" i="5"/>
  <c r="AB230" i="5"/>
  <c r="AB231" i="5"/>
  <c r="AB228" i="5"/>
  <c r="AB225" i="5"/>
  <c r="AB224" i="5"/>
  <c r="AB222" i="5"/>
  <c r="AB212" i="5"/>
  <c r="AB211" i="5" s="1"/>
  <c r="AB200" i="5"/>
  <c r="AB202" i="5"/>
  <c r="AB201" i="5" s="1"/>
  <c r="AB203" i="5"/>
  <c r="AB204" i="5"/>
  <c r="AB189" i="5"/>
  <c r="AB190" i="5"/>
  <c r="AB192" i="5"/>
  <c r="AB193" i="5"/>
  <c r="AB188" i="5"/>
  <c r="AB176" i="5"/>
  <c r="AB177" i="5"/>
  <c r="AB170" i="5"/>
  <c r="AB171" i="5"/>
  <c r="AB172" i="5"/>
  <c r="AB168" i="5"/>
  <c r="AB165" i="5"/>
  <c r="AB166" i="5"/>
  <c r="AB163" i="5"/>
  <c r="AB158" i="5"/>
  <c r="AB157" i="5"/>
  <c r="AB151" i="5"/>
  <c r="AB150" i="5"/>
  <c r="AB149" i="5"/>
  <c r="AB147" i="5"/>
  <c r="AB146" i="5"/>
  <c r="AB145" i="5"/>
  <c r="AB142" i="5"/>
  <c r="AB143" i="5"/>
  <c r="AB141" i="5"/>
  <c r="AB138" i="5"/>
  <c r="AB139" i="5"/>
  <c r="AB109" i="5"/>
  <c r="AB110" i="5"/>
  <c r="AB111" i="5"/>
  <c r="AB112" i="5"/>
  <c r="AB113" i="5"/>
  <c r="AB115" i="5"/>
  <c r="AB116" i="5"/>
  <c r="AB117" i="5"/>
  <c r="AB118" i="5"/>
  <c r="AB120" i="5"/>
  <c r="AB121" i="5"/>
  <c r="AB122" i="5"/>
  <c r="AB123" i="5"/>
  <c r="AB125" i="5"/>
  <c r="AB126" i="5"/>
  <c r="AB127" i="5"/>
  <c r="AB128" i="5"/>
  <c r="AB129" i="5"/>
  <c r="AB130" i="5"/>
  <c r="AB101" i="5"/>
  <c r="AB82" i="5"/>
  <c r="AB83" i="5"/>
  <c r="AB85" i="5"/>
  <c r="AB86" i="5"/>
  <c r="AB88" i="5"/>
  <c r="AB49" i="5"/>
  <c r="AB50" i="5"/>
  <c r="AB51" i="5"/>
  <c r="AB52" i="5"/>
  <c r="AB54" i="5"/>
  <c r="AB55" i="5"/>
  <c r="AB56" i="5"/>
  <c r="AB58" i="5"/>
  <c r="AB60" i="5"/>
  <c r="AB61" i="5"/>
  <c r="AB62" i="5"/>
  <c r="AB63" i="5"/>
  <c r="AB64" i="5"/>
  <c r="AB65" i="5"/>
  <c r="AB66" i="5"/>
  <c r="AB67" i="5"/>
  <c r="AB68" i="5"/>
  <c r="AB69" i="5"/>
  <c r="AB70" i="5"/>
  <c r="AB71" i="5"/>
  <c r="AB73" i="5"/>
  <c r="AB74" i="5"/>
  <c r="AB76" i="5"/>
  <c r="AB77" i="5"/>
  <c r="AB78" i="5"/>
  <c r="AB45" i="5"/>
  <c r="AB44" i="5"/>
  <c r="AB41" i="5"/>
  <c r="AB33" i="5"/>
  <c r="AB34" i="5"/>
  <c r="AB35" i="5"/>
  <c r="AB36" i="5"/>
  <c r="AB37" i="5"/>
  <c r="AB32" i="5"/>
  <c r="AB25" i="5"/>
  <c r="AB26" i="5"/>
  <c r="AB27" i="5"/>
  <c r="AB24" i="5"/>
  <c r="AB13" i="5"/>
  <c r="AB14" i="5"/>
  <c r="AB15" i="5"/>
  <c r="AB16" i="5"/>
  <c r="AB17" i="5"/>
  <c r="AB325" i="5"/>
  <c r="AB153" i="5"/>
  <c r="AB12" i="5"/>
  <c r="Z397" i="5"/>
  <c r="Q397" i="5"/>
  <c r="X397" i="5" s="1"/>
  <c r="I397" i="5"/>
  <c r="N397" i="5" s="1"/>
  <c r="Z396" i="5"/>
  <c r="Q396" i="5"/>
  <c r="X396" i="5" s="1"/>
  <c r="I396" i="5"/>
  <c r="N396" i="5" s="1"/>
  <c r="Z395" i="5"/>
  <c r="Q395" i="5"/>
  <c r="X395" i="5" s="1"/>
  <c r="I395" i="5"/>
  <c r="V394" i="5"/>
  <c r="U394" i="5"/>
  <c r="T394" i="5"/>
  <c r="S394" i="5"/>
  <c r="S393" i="5" s="1"/>
  <c r="S392" i="5" s="1"/>
  <c r="S391" i="5" s="1"/>
  <c r="R394" i="5"/>
  <c r="P394" i="5"/>
  <c r="O394" i="5"/>
  <c r="O393" i="5" s="1"/>
  <c r="O392" i="5" s="1"/>
  <c r="O391" i="5" s="1"/>
  <c r="M394" i="5"/>
  <c r="L394" i="5"/>
  <c r="K394" i="5"/>
  <c r="K393" i="5" s="1"/>
  <c r="K392" i="5" s="1"/>
  <c r="K391" i="5" s="1"/>
  <c r="J394" i="5"/>
  <c r="J393" i="5" s="1"/>
  <c r="J392" i="5" s="1"/>
  <c r="J391" i="5" s="1"/>
  <c r="H394" i="5"/>
  <c r="H393" i="5" s="1"/>
  <c r="H392" i="5" s="1"/>
  <c r="H391" i="5" s="1"/>
  <c r="V393" i="5"/>
  <c r="V392" i="5" s="1"/>
  <c r="V391" i="5" s="1"/>
  <c r="U393" i="5"/>
  <c r="U392" i="5" s="1"/>
  <c r="U391" i="5" s="1"/>
  <c r="T393" i="5"/>
  <c r="T392" i="5" s="1"/>
  <c r="T391" i="5" s="1"/>
  <c r="M393" i="5"/>
  <c r="M392" i="5" s="1"/>
  <c r="M391" i="5" s="1"/>
  <c r="L393" i="5"/>
  <c r="L392" i="5" s="1"/>
  <c r="L391" i="5" s="1"/>
  <c r="Z390" i="5"/>
  <c r="Q390" i="5"/>
  <c r="X390" i="5" s="1"/>
  <c r="Z389" i="5"/>
  <c r="I389" i="5"/>
  <c r="N389" i="5" s="1"/>
  <c r="Z388" i="5"/>
  <c r="Q388" i="5"/>
  <c r="X388" i="5" s="1"/>
  <c r="I388" i="5"/>
  <c r="N388" i="5" s="1"/>
  <c r="Z387" i="5"/>
  <c r="Q387" i="5"/>
  <c r="X387" i="5" s="1"/>
  <c r="I387" i="5"/>
  <c r="N387" i="5" s="1"/>
  <c r="P386" i="5"/>
  <c r="Q385" i="5"/>
  <c r="P385" i="5"/>
  <c r="Q384" i="5"/>
  <c r="P384" i="5"/>
  <c r="Z384" i="5" s="1"/>
  <c r="Z383" i="5"/>
  <c r="Z382" i="5"/>
  <c r="Q382" i="5"/>
  <c r="X382" i="5" s="1"/>
  <c r="O382" i="5"/>
  <c r="O381" i="5" s="1"/>
  <c r="O380" i="5" s="1"/>
  <c r="O379" i="5" s="1"/>
  <c r="O378" i="5" s="1"/>
  <c r="I382" i="5"/>
  <c r="N382" i="5" s="1"/>
  <c r="W381" i="5"/>
  <c r="V381" i="5"/>
  <c r="V380" i="5" s="1"/>
  <c r="V379" i="5" s="1"/>
  <c r="V378" i="5" s="1"/>
  <c r="U381" i="5"/>
  <c r="U380" i="5" s="1"/>
  <c r="U379" i="5" s="1"/>
  <c r="U378" i="5" s="1"/>
  <c r="T381" i="5"/>
  <c r="T380" i="5" s="1"/>
  <c r="T379" i="5" s="1"/>
  <c r="T378" i="5" s="1"/>
  <c r="S381" i="5"/>
  <c r="S380" i="5" s="1"/>
  <c r="S379" i="5" s="1"/>
  <c r="S378" i="5" s="1"/>
  <c r="R381" i="5"/>
  <c r="R380" i="5" s="1"/>
  <c r="R379" i="5" s="1"/>
  <c r="R378" i="5" s="1"/>
  <c r="M381" i="5"/>
  <c r="M380" i="5" s="1"/>
  <c r="M379" i="5" s="1"/>
  <c r="M378" i="5" s="1"/>
  <c r="L381" i="5"/>
  <c r="L380" i="5" s="1"/>
  <c r="L379" i="5" s="1"/>
  <c r="L378" i="5" s="1"/>
  <c r="K381" i="5"/>
  <c r="K380" i="5" s="1"/>
  <c r="K379" i="5" s="1"/>
  <c r="K378" i="5" s="1"/>
  <c r="J381" i="5"/>
  <c r="J380" i="5" s="1"/>
  <c r="J379" i="5" s="1"/>
  <c r="J378" i="5" s="1"/>
  <c r="H381" i="5"/>
  <c r="H380" i="5" s="1"/>
  <c r="H379" i="5" s="1"/>
  <c r="H378" i="5" s="1"/>
  <c r="Z377" i="5"/>
  <c r="Q376" i="5"/>
  <c r="P376" i="5"/>
  <c r="O376" i="5"/>
  <c r="Q375" i="5"/>
  <c r="P375" i="5"/>
  <c r="O375" i="5"/>
  <c r="H375" i="5"/>
  <c r="H373" i="5" s="1"/>
  <c r="Q374" i="5"/>
  <c r="P374" i="5"/>
  <c r="O374" i="5"/>
  <c r="W373" i="5"/>
  <c r="V373" i="5"/>
  <c r="U373" i="5"/>
  <c r="T373" i="5"/>
  <c r="S373" i="5"/>
  <c r="R373" i="5"/>
  <c r="Z371" i="5"/>
  <c r="Z370" i="5"/>
  <c r="Q369" i="5"/>
  <c r="P369" i="5"/>
  <c r="O369" i="5"/>
  <c r="I369" i="5"/>
  <c r="N369" i="5" s="1"/>
  <c r="Q367" i="5"/>
  <c r="P367" i="5"/>
  <c r="O367" i="5"/>
  <c r="I367" i="5"/>
  <c r="H367" i="5"/>
  <c r="Z366" i="5"/>
  <c r="Q366" i="5"/>
  <c r="X366" i="5" s="1"/>
  <c r="Z364" i="5"/>
  <c r="Q362" i="5"/>
  <c r="P362" i="5"/>
  <c r="O362" i="5"/>
  <c r="I362" i="5"/>
  <c r="N362" i="5" s="1"/>
  <c r="Q361" i="5"/>
  <c r="P361" i="5"/>
  <c r="O361" i="5"/>
  <c r="I361" i="5"/>
  <c r="N361" i="5" s="1"/>
  <c r="Y360" i="5"/>
  <c r="W360" i="5"/>
  <c r="V360" i="5"/>
  <c r="U360" i="5"/>
  <c r="T360" i="5"/>
  <c r="S360" i="5"/>
  <c r="R360" i="5"/>
  <c r="I360" i="5"/>
  <c r="H360" i="5"/>
  <c r="M359" i="5"/>
  <c r="M358" i="5" s="1"/>
  <c r="L359" i="5"/>
  <c r="L358" i="5" s="1"/>
  <c r="K359" i="5"/>
  <c r="K357" i="5" s="1"/>
  <c r="J359" i="5"/>
  <c r="Q358" i="5"/>
  <c r="P358" i="5"/>
  <c r="Z356" i="5"/>
  <c r="Q356" i="5"/>
  <c r="X356" i="5" s="1"/>
  <c r="Q355" i="5"/>
  <c r="P355" i="5"/>
  <c r="Z354" i="5"/>
  <c r="Z353" i="5"/>
  <c r="Q353" i="5"/>
  <c r="X353" i="5" s="1"/>
  <c r="Z352" i="5"/>
  <c r="Q352" i="5"/>
  <c r="X352" i="5" s="1"/>
  <c r="Z351" i="5"/>
  <c r="Q350" i="5"/>
  <c r="P349" i="5"/>
  <c r="Y348" i="5"/>
  <c r="W348" i="5"/>
  <c r="W347" i="5" s="1"/>
  <c r="V348" i="5"/>
  <c r="V347" i="5" s="1"/>
  <c r="U348" i="5"/>
  <c r="T348" i="5"/>
  <c r="T347" i="5" s="1"/>
  <c r="S348" i="5"/>
  <c r="S347" i="5" s="1"/>
  <c r="R348" i="5"/>
  <c r="R347" i="5" s="1"/>
  <c r="U347" i="5"/>
  <c r="O347" i="5"/>
  <c r="N347" i="5"/>
  <c r="M347" i="5"/>
  <c r="L347" i="5"/>
  <c r="K347" i="5"/>
  <c r="J347" i="5"/>
  <c r="I347" i="5"/>
  <c r="H347" i="5"/>
  <c r="Z346" i="5"/>
  <c r="Q346" i="5"/>
  <c r="X346" i="5" s="1"/>
  <c r="Z345" i="5"/>
  <c r="Q345" i="5"/>
  <c r="X345" i="5" s="1"/>
  <c r="Z344" i="5"/>
  <c r="Q344" i="5"/>
  <c r="X344" i="5" s="1"/>
  <c r="Z343" i="5"/>
  <c r="Q343" i="5"/>
  <c r="X343" i="5" s="1"/>
  <c r="Z342" i="5"/>
  <c r="W342" i="5"/>
  <c r="V342" i="5"/>
  <c r="U342" i="5"/>
  <c r="T342" i="5"/>
  <c r="S342" i="5"/>
  <c r="R342" i="5"/>
  <c r="Z341" i="5"/>
  <c r="Q341" i="5"/>
  <c r="X341" i="5" s="1"/>
  <c r="Z340" i="5"/>
  <c r="Q340" i="5"/>
  <c r="X340" i="5" s="1"/>
  <c r="W339" i="5"/>
  <c r="V339" i="5"/>
  <c r="U339" i="5"/>
  <c r="T339" i="5"/>
  <c r="S339" i="5"/>
  <c r="R339" i="5"/>
  <c r="P339" i="5"/>
  <c r="Z339" i="5" s="1"/>
  <c r="Z338" i="5"/>
  <c r="Q338" i="5"/>
  <c r="X338" i="5" s="1"/>
  <c r="O338" i="5"/>
  <c r="N338" i="5"/>
  <c r="M338" i="5"/>
  <c r="L338" i="5"/>
  <c r="K338" i="5"/>
  <c r="J338" i="5"/>
  <c r="I338" i="5"/>
  <c r="H338" i="5"/>
  <c r="Q337" i="5"/>
  <c r="Q336" i="5" s="1"/>
  <c r="P337" i="5"/>
  <c r="O337" i="5"/>
  <c r="O336" i="5" s="1"/>
  <c r="O335" i="5" s="1"/>
  <c r="J337" i="5"/>
  <c r="J336" i="5" s="1"/>
  <c r="J335" i="5" s="1"/>
  <c r="V336" i="5"/>
  <c r="U336" i="5"/>
  <c r="T336" i="5"/>
  <c r="S336" i="5"/>
  <c r="R336" i="5"/>
  <c r="M336" i="5"/>
  <c r="M335" i="5" s="1"/>
  <c r="L336" i="5"/>
  <c r="L335" i="5" s="1"/>
  <c r="K336" i="5"/>
  <c r="K335" i="5" s="1"/>
  <c r="H336" i="5"/>
  <c r="H335" i="5" s="1"/>
  <c r="W335" i="5"/>
  <c r="Z334" i="5"/>
  <c r="Q334" i="5"/>
  <c r="X334" i="5" s="1"/>
  <c r="Z333" i="5"/>
  <c r="Q333" i="5"/>
  <c r="X333" i="5" s="1"/>
  <c r="V332" i="5"/>
  <c r="U332" i="5"/>
  <c r="T332" i="5"/>
  <c r="S332" i="5"/>
  <c r="R332" i="5"/>
  <c r="P332" i="5"/>
  <c r="Z331" i="5"/>
  <c r="Q331" i="5"/>
  <c r="X331" i="5" s="1"/>
  <c r="O331" i="5"/>
  <c r="I331" i="5"/>
  <c r="N331" i="5" s="1"/>
  <c r="Z330" i="5"/>
  <c r="Q330" i="5"/>
  <c r="O330" i="5"/>
  <c r="I330" i="5"/>
  <c r="V329" i="5"/>
  <c r="V325" i="5" s="1"/>
  <c r="U329" i="5"/>
  <c r="T329" i="5"/>
  <c r="S329" i="5"/>
  <c r="R329" i="5"/>
  <c r="P329" i="5"/>
  <c r="M329" i="5"/>
  <c r="L329" i="5"/>
  <c r="K329" i="5"/>
  <c r="J329" i="5"/>
  <c r="H329" i="5"/>
  <c r="Z328" i="5"/>
  <c r="Q328" i="5"/>
  <c r="X328" i="5" s="1"/>
  <c r="Z327" i="5"/>
  <c r="Q327" i="5"/>
  <c r="I327" i="5"/>
  <c r="N327" i="5" s="1"/>
  <c r="N326" i="5" s="1"/>
  <c r="U326" i="5"/>
  <c r="T326" i="5"/>
  <c r="S326" i="5"/>
  <c r="R326" i="5"/>
  <c r="P326" i="5"/>
  <c r="O326" i="5"/>
  <c r="M326" i="5"/>
  <c r="M325" i="5" s="1"/>
  <c r="L326" i="5"/>
  <c r="K326" i="5"/>
  <c r="K325" i="5" s="1"/>
  <c r="J326" i="5"/>
  <c r="H326" i="5"/>
  <c r="Z324" i="5"/>
  <c r="Q324" i="5"/>
  <c r="X324" i="5" s="1"/>
  <c r="Z323" i="5"/>
  <c r="Q323" i="5"/>
  <c r="X323" i="5" s="1"/>
  <c r="I323" i="5"/>
  <c r="N323" i="5" s="1"/>
  <c r="Z322" i="5"/>
  <c r="Q322" i="5"/>
  <c r="X322" i="5" s="1"/>
  <c r="I322" i="5"/>
  <c r="N322" i="5" s="1"/>
  <c r="Z321" i="5"/>
  <c r="Q321" i="5"/>
  <c r="X321" i="5" s="1"/>
  <c r="I321" i="5"/>
  <c r="W320" i="5"/>
  <c r="V320" i="5"/>
  <c r="U320" i="5"/>
  <c r="T320" i="5"/>
  <c r="S320" i="5"/>
  <c r="R320" i="5"/>
  <c r="P320" i="5"/>
  <c r="O320" i="5"/>
  <c r="M320" i="5"/>
  <c r="L320" i="5"/>
  <c r="K320" i="5"/>
  <c r="J320" i="5"/>
  <c r="H320" i="5"/>
  <c r="Z319" i="5"/>
  <c r="Q319" i="5"/>
  <c r="X319" i="5" s="1"/>
  <c r="Z318" i="5"/>
  <c r="Q318" i="5"/>
  <c r="X318" i="5" s="1"/>
  <c r="Z317" i="5"/>
  <c r="Q317" i="5"/>
  <c r="X317" i="5" s="1"/>
  <c r="I317" i="5"/>
  <c r="N317" i="5" s="1"/>
  <c r="Z316" i="5"/>
  <c r="Q316" i="5"/>
  <c r="X316" i="5" s="1"/>
  <c r="O316" i="5"/>
  <c r="I316" i="5"/>
  <c r="N316" i="5" s="1"/>
  <c r="Z315" i="5"/>
  <c r="Q315" i="5"/>
  <c r="X315" i="5" s="1"/>
  <c r="I315" i="5"/>
  <c r="N315" i="5" s="1"/>
  <c r="Q314" i="5"/>
  <c r="P314" i="5"/>
  <c r="Z314" i="5" s="1"/>
  <c r="O314" i="5"/>
  <c r="I314" i="5"/>
  <c r="N314" i="5" s="1"/>
  <c r="Q313" i="5"/>
  <c r="P313" i="5"/>
  <c r="P311" i="5" s="1"/>
  <c r="Z312" i="5"/>
  <c r="O312" i="5"/>
  <c r="I312" i="5"/>
  <c r="N312" i="5" s="1"/>
  <c r="W311" i="5"/>
  <c r="V311" i="5"/>
  <c r="U311" i="5"/>
  <c r="T311" i="5"/>
  <c r="S311" i="5"/>
  <c r="R311" i="5"/>
  <c r="M311" i="5"/>
  <c r="L311" i="5"/>
  <c r="K311" i="5"/>
  <c r="J311" i="5"/>
  <c r="H311" i="5"/>
  <c r="Q310" i="5"/>
  <c r="P310" i="5"/>
  <c r="P307" i="5" s="1"/>
  <c r="Z309" i="5"/>
  <c r="Q309" i="5"/>
  <c r="X309" i="5" s="1"/>
  <c r="Z308" i="5"/>
  <c r="I308" i="5"/>
  <c r="I307" i="5" s="1"/>
  <c r="W307" i="5"/>
  <c r="V307" i="5"/>
  <c r="U307" i="5"/>
  <c r="T307" i="5"/>
  <c r="S307" i="5"/>
  <c r="R307" i="5"/>
  <c r="O307" i="5"/>
  <c r="M307" i="5"/>
  <c r="L307" i="5"/>
  <c r="K307" i="5"/>
  <c r="J307" i="5"/>
  <c r="H307" i="5"/>
  <c r="Z306" i="5"/>
  <c r="I306" i="5"/>
  <c r="N306" i="5" s="1"/>
  <c r="Z305" i="5"/>
  <c r="O305" i="5"/>
  <c r="O304" i="5" s="1"/>
  <c r="I305" i="5"/>
  <c r="N305" i="5" s="1"/>
  <c r="P304" i="5"/>
  <c r="M304" i="5"/>
  <c r="L304" i="5"/>
  <c r="K304" i="5"/>
  <c r="J304" i="5"/>
  <c r="H304" i="5"/>
  <c r="Q303" i="5"/>
  <c r="P303" i="5"/>
  <c r="O303" i="5"/>
  <c r="Q302" i="5"/>
  <c r="P302" i="5"/>
  <c r="O302" i="5"/>
  <c r="I302" i="5"/>
  <c r="Z300" i="5"/>
  <c r="Q300" i="5"/>
  <c r="X300" i="5" s="1"/>
  <c r="I300" i="5"/>
  <c r="N300" i="5" s="1"/>
  <c r="Q299" i="5"/>
  <c r="P299" i="5"/>
  <c r="I299" i="5"/>
  <c r="N299" i="5" s="1"/>
  <c r="Z298" i="5"/>
  <c r="Q298" i="5"/>
  <c r="X298" i="5" s="1"/>
  <c r="O298" i="5"/>
  <c r="O297" i="5" s="1"/>
  <c r="O294" i="5" s="1"/>
  <c r="I298" i="5"/>
  <c r="V297" i="5"/>
  <c r="U297" i="5"/>
  <c r="U294" i="5" s="1"/>
  <c r="T297" i="5"/>
  <c r="T294" i="5" s="1"/>
  <c r="S297" i="5"/>
  <c r="S294" i="5" s="1"/>
  <c r="R297" i="5"/>
  <c r="R294" i="5" s="1"/>
  <c r="M297" i="5"/>
  <c r="M294" i="5" s="1"/>
  <c r="L297" i="5"/>
  <c r="L294" i="5" s="1"/>
  <c r="K297" i="5"/>
  <c r="K294" i="5" s="1"/>
  <c r="J297" i="5"/>
  <c r="J294" i="5" s="1"/>
  <c r="H297" i="5"/>
  <c r="H294" i="5" s="1"/>
  <c r="Z296" i="5"/>
  <c r="Q296" i="5"/>
  <c r="X296" i="5" s="1"/>
  <c r="Q295" i="5"/>
  <c r="P295" i="5"/>
  <c r="Z295" i="5" s="1"/>
  <c r="I295" i="5"/>
  <c r="W294" i="5"/>
  <c r="V294" i="5"/>
  <c r="Z292" i="5"/>
  <c r="Z291" i="5"/>
  <c r="Z290" i="5"/>
  <c r="Q290" i="5"/>
  <c r="X290" i="5" s="1"/>
  <c r="I290" i="5"/>
  <c r="N290" i="5" s="1"/>
  <c r="Z289" i="5"/>
  <c r="Z288" i="5"/>
  <c r="Q288" i="5"/>
  <c r="I288" i="5"/>
  <c r="Q287" i="5"/>
  <c r="P287" i="5"/>
  <c r="Z286" i="5"/>
  <c r="Q286" i="5"/>
  <c r="X286" i="5" s="1"/>
  <c r="Z285" i="5"/>
  <c r="Q285" i="5"/>
  <c r="X285" i="5" s="1"/>
  <c r="P284" i="5"/>
  <c r="Q283" i="5"/>
  <c r="P283" i="5"/>
  <c r="Z283" i="5" s="1"/>
  <c r="Z282" i="5"/>
  <c r="Q282" i="5"/>
  <c r="X282" i="5" s="1"/>
  <c r="O282" i="5"/>
  <c r="I282" i="5"/>
  <c r="H282" i="5"/>
  <c r="Z281" i="5"/>
  <c r="Q281" i="5"/>
  <c r="X281" i="5" s="1"/>
  <c r="O281" i="5"/>
  <c r="I281" i="5"/>
  <c r="H281" i="5"/>
  <c r="Q280" i="5"/>
  <c r="P280" i="5"/>
  <c r="O280" i="5"/>
  <c r="I280" i="5"/>
  <c r="H280" i="5"/>
  <c r="Q279" i="5"/>
  <c r="P279" i="5"/>
  <c r="O279" i="5"/>
  <c r="I279" i="5"/>
  <c r="H279" i="5"/>
  <c r="Z278" i="5"/>
  <c r="Z277" i="5"/>
  <c r="Q276" i="5"/>
  <c r="X276" i="5" s="1"/>
  <c r="Q275" i="5"/>
  <c r="P275" i="5"/>
  <c r="O275" i="5"/>
  <c r="I275" i="5"/>
  <c r="N275" i="5" s="1"/>
  <c r="Y273" i="5"/>
  <c r="W273" i="5"/>
  <c r="V273" i="5"/>
  <c r="U273" i="5"/>
  <c r="T273" i="5"/>
  <c r="S273" i="5"/>
  <c r="R273" i="5"/>
  <c r="O273" i="5"/>
  <c r="M273" i="5"/>
  <c r="L273" i="5"/>
  <c r="K273" i="5"/>
  <c r="J273" i="5"/>
  <c r="H273" i="5"/>
  <c r="Z272" i="5"/>
  <c r="Q272" i="5"/>
  <c r="V271" i="5"/>
  <c r="U271" i="5"/>
  <c r="T271" i="5"/>
  <c r="S271" i="5"/>
  <c r="R271" i="5"/>
  <c r="P271" i="5"/>
  <c r="O271" i="5"/>
  <c r="N271" i="5"/>
  <c r="M271" i="5"/>
  <c r="L271" i="5"/>
  <c r="K271" i="5"/>
  <c r="J271" i="5"/>
  <c r="I271" i="5"/>
  <c r="H271" i="5"/>
  <c r="Q270" i="5"/>
  <c r="Q269" i="5" s="1"/>
  <c r="P270" i="5"/>
  <c r="P269" i="5" s="1"/>
  <c r="O270" i="5"/>
  <c r="O269" i="5" s="1"/>
  <c r="I270" i="5"/>
  <c r="I269" i="5" s="1"/>
  <c r="H270" i="5"/>
  <c r="H269" i="5" s="1"/>
  <c r="Y269" i="5"/>
  <c r="W269" i="5"/>
  <c r="W268" i="5" s="1"/>
  <c r="V269" i="5"/>
  <c r="U269" i="5"/>
  <c r="T269" i="5"/>
  <c r="S269" i="5"/>
  <c r="R269" i="5"/>
  <c r="M269" i="5"/>
  <c r="L269" i="5"/>
  <c r="K269" i="5"/>
  <c r="J269" i="5"/>
  <c r="Z265" i="5"/>
  <c r="Z264" i="5"/>
  <c r="Q264" i="5"/>
  <c r="X264" i="5" s="1"/>
  <c r="I264" i="5"/>
  <c r="N264" i="5" s="1"/>
  <c r="Q263" i="5"/>
  <c r="P263" i="5"/>
  <c r="Z262" i="5"/>
  <c r="Q262" i="5"/>
  <c r="X262" i="5" s="1"/>
  <c r="Z261" i="5"/>
  <c r="Q261" i="5"/>
  <c r="Y260" i="5"/>
  <c r="Y259" i="5" s="1"/>
  <c r="W260" i="5"/>
  <c r="W259" i="5" s="1"/>
  <c r="V260" i="5"/>
  <c r="V259" i="5" s="1"/>
  <c r="U260" i="5"/>
  <c r="U259" i="5" s="1"/>
  <c r="T260" i="5"/>
  <c r="T259" i="5" s="1"/>
  <c r="S260" i="5"/>
  <c r="S259" i="5" s="1"/>
  <c r="R260" i="5"/>
  <c r="R259" i="5" s="1"/>
  <c r="P260" i="5"/>
  <c r="P259" i="5" s="1"/>
  <c r="O259" i="5"/>
  <c r="N259" i="5"/>
  <c r="M259" i="5"/>
  <c r="L259" i="5"/>
  <c r="K259" i="5"/>
  <c r="J259" i="5"/>
  <c r="I259" i="5"/>
  <c r="H259" i="5"/>
  <c r="Z258" i="5"/>
  <c r="Z257" i="5"/>
  <c r="Q257" i="5"/>
  <c r="X257" i="5" s="1"/>
  <c r="Z256" i="5"/>
  <c r="Q256" i="5"/>
  <c r="X256" i="5" s="1"/>
  <c r="Z255" i="5"/>
  <c r="Q255" i="5"/>
  <c r="X255" i="5" s="1"/>
  <c r="O255" i="5"/>
  <c r="O254" i="5" s="1"/>
  <c r="I255" i="5"/>
  <c r="Z254" i="5"/>
  <c r="V254" i="5"/>
  <c r="U254" i="5"/>
  <c r="S254" i="5"/>
  <c r="R254" i="5"/>
  <c r="M254" i="5"/>
  <c r="L254" i="5"/>
  <c r="K254" i="5"/>
  <c r="J254" i="5"/>
  <c r="H254" i="5"/>
  <c r="H246" i="5" s="1"/>
  <c r="Z253" i="5"/>
  <c r="Q253" i="5"/>
  <c r="X253" i="5" s="1"/>
  <c r="Z251" i="5"/>
  <c r="Q251" i="5"/>
  <c r="X251" i="5" s="1"/>
  <c r="Q250" i="5"/>
  <c r="X250" i="5" s="1"/>
  <c r="Z249" i="5"/>
  <c r="Z248" i="5"/>
  <c r="Z247" i="5"/>
  <c r="Q247" i="5"/>
  <c r="V246" i="5"/>
  <c r="V245" i="5" s="1"/>
  <c r="V244" i="5" s="1"/>
  <c r="U246" i="5"/>
  <c r="U245" i="5" s="1"/>
  <c r="U244" i="5" s="1"/>
  <c r="T246" i="5"/>
  <c r="T245" i="5" s="1"/>
  <c r="T244" i="5" s="1"/>
  <c r="S246" i="5"/>
  <c r="R246" i="5"/>
  <c r="R245" i="5" s="1"/>
  <c r="R244" i="5" s="1"/>
  <c r="P246" i="5"/>
  <c r="P245" i="5" s="1"/>
  <c r="S245" i="5"/>
  <c r="S244" i="5" s="1"/>
  <c r="O245" i="5"/>
  <c r="N245" i="5"/>
  <c r="M245" i="5"/>
  <c r="L245" i="5"/>
  <c r="K245" i="5"/>
  <c r="J245" i="5"/>
  <c r="I245" i="5"/>
  <c r="H245" i="5"/>
  <c r="W244" i="5"/>
  <c r="Z243" i="5"/>
  <c r="I243" i="5"/>
  <c r="N243" i="5" s="1"/>
  <c r="N242" i="5" s="1"/>
  <c r="P242" i="5"/>
  <c r="O242" i="5"/>
  <c r="M242" i="5"/>
  <c r="L242" i="5"/>
  <c r="K242" i="5"/>
  <c r="J242" i="5"/>
  <c r="H242" i="5"/>
  <c r="Q241" i="5"/>
  <c r="Q240" i="5" s="1"/>
  <c r="P241" i="5"/>
  <c r="O241" i="5"/>
  <c r="I241" i="5"/>
  <c r="I240" i="5" s="1"/>
  <c r="I239" i="5" s="1"/>
  <c r="I238" i="5" s="1"/>
  <c r="V240" i="5"/>
  <c r="V239" i="5" s="1"/>
  <c r="V238" i="5" s="1"/>
  <c r="V237" i="5" s="1"/>
  <c r="U240" i="5"/>
  <c r="U239" i="5" s="1"/>
  <c r="U238" i="5" s="1"/>
  <c r="U237" i="5" s="1"/>
  <c r="T240" i="5"/>
  <c r="T239" i="5" s="1"/>
  <c r="T238" i="5" s="1"/>
  <c r="T237" i="5" s="1"/>
  <c r="S240" i="5"/>
  <c r="S239" i="5" s="1"/>
  <c r="S238" i="5" s="1"/>
  <c r="S237" i="5" s="1"/>
  <c r="R240" i="5"/>
  <c r="R239" i="5" s="1"/>
  <c r="R238" i="5" s="1"/>
  <c r="R237" i="5" s="1"/>
  <c r="P240" i="5"/>
  <c r="O240" i="5"/>
  <c r="O239" i="5" s="1"/>
  <c r="O238" i="5" s="1"/>
  <c r="M240" i="5"/>
  <c r="M239" i="5" s="1"/>
  <c r="M238" i="5" s="1"/>
  <c r="L240" i="5"/>
  <c r="L239" i="5" s="1"/>
  <c r="L238" i="5" s="1"/>
  <c r="K240" i="5"/>
  <c r="K239" i="5" s="1"/>
  <c r="K238" i="5" s="1"/>
  <c r="J240" i="5"/>
  <c r="J239" i="5" s="1"/>
  <c r="J238" i="5" s="1"/>
  <c r="H240" i="5"/>
  <c r="H239" i="5" s="1"/>
  <c r="H238" i="5" s="1"/>
  <c r="Q239" i="5"/>
  <c r="Q238" i="5" s="1"/>
  <c r="Q237" i="5" s="1"/>
  <c r="P239" i="5"/>
  <c r="Z236" i="5"/>
  <c r="Q236" i="5"/>
  <c r="X236" i="5" s="1"/>
  <c r="Z235" i="5"/>
  <c r="Q235" i="5"/>
  <c r="X235" i="5" s="1"/>
  <c r="V234" i="5"/>
  <c r="U234" i="5"/>
  <c r="T234" i="5"/>
  <c r="S234" i="5"/>
  <c r="R234" i="5"/>
  <c r="P234" i="5"/>
  <c r="Z232" i="5"/>
  <c r="Q232" i="5"/>
  <c r="X232" i="5" s="1"/>
  <c r="Z231" i="5"/>
  <c r="Z230" i="5"/>
  <c r="Q230" i="5"/>
  <c r="X230" i="5" s="1"/>
  <c r="Z229" i="5"/>
  <c r="Q229" i="5"/>
  <c r="X229" i="5" s="1"/>
  <c r="Z228" i="5"/>
  <c r="Q228" i="5"/>
  <c r="X228" i="5" s="1"/>
  <c r="Y227" i="5"/>
  <c r="W227" i="5"/>
  <c r="V227" i="5"/>
  <c r="U227" i="5"/>
  <c r="T227" i="5"/>
  <c r="S227" i="5"/>
  <c r="R227" i="5"/>
  <c r="P227" i="5"/>
  <c r="O227" i="5"/>
  <c r="N227" i="5"/>
  <c r="M227" i="5"/>
  <c r="M213" i="5" s="1"/>
  <c r="M210" i="5" s="1"/>
  <c r="L227" i="5"/>
  <c r="L213" i="5" s="1"/>
  <c r="L210" i="5" s="1"/>
  <c r="K227" i="5"/>
  <c r="K213" i="5" s="1"/>
  <c r="K210" i="5" s="1"/>
  <c r="J227" i="5"/>
  <c r="J213" i="5" s="1"/>
  <c r="J210" i="5" s="1"/>
  <c r="I227" i="5"/>
  <c r="H227" i="5"/>
  <c r="Z225" i="5"/>
  <c r="Z224" i="5"/>
  <c r="Y223" i="5"/>
  <c r="Y213" i="5" s="1"/>
  <c r="X223" i="5"/>
  <c r="W223" i="5"/>
  <c r="W213" i="5" s="1"/>
  <c r="V223" i="5"/>
  <c r="U223" i="5"/>
  <c r="T223" i="5"/>
  <c r="S223" i="5"/>
  <c r="R223" i="5"/>
  <c r="Q223" i="5"/>
  <c r="P223" i="5"/>
  <c r="Z222" i="5"/>
  <c r="Z221" i="5"/>
  <c r="Y220" i="5"/>
  <c r="X220" i="5"/>
  <c r="W220" i="5"/>
  <c r="V220" i="5"/>
  <c r="U220" i="5"/>
  <c r="T220" i="5"/>
  <c r="S220" i="5"/>
  <c r="R220" i="5"/>
  <c r="Q220" i="5"/>
  <c r="P220" i="5"/>
  <c r="Z219" i="5"/>
  <c r="Q219" i="5"/>
  <c r="X219" i="5" s="1"/>
  <c r="Z218" i="5"/>
  <c r="Q218" i="5"/>
  <c r="X218" i="5" s="1"/>
  <c r="Z217" i="5"/>
  <c r="Q217" i="5"/>
  <c r="X217" i="5" s="1"/>
  <c r="X216" i="5" s="1"/>
  <c r="O217" i="5"/>
  <c r="O216" i="5" s="1"/>
  <c r="I217" i="5"/>
  <c r="N217" i="5" s="1"/>
  <c r="V216" i="5"/>
  <c r="U216" i="5"/>
  <c r="T216" i="5"/>
  <c r="S216" i="5"/>
  <c r="R216" i="5"/>
  <c r="P216" i="5"/>
  <c r="H216" i="5"/>
  <c r="Z215" i="5"/>
  <c r="Q215" i="5"/>
  <c r="X215" i="5" s="1"/>
  <c r="Z214" i="5"/>
  <c r="V214" i="5"/>
  <c r="U214" i="5"/>
  <c r="T214" i="5"/>
  <c r="S214" i="5"/>
  <c r="Z212" i="5"/>
  <c r="Q212" i="5"/>
  <c r="W211" i="5"/>
  <c r="W210" i="5" s="1"/>
  <c r="V211" i="5"/>
  <c r="U211" i="5"/>
  <c r="T211" i="5"/>
  <c r="S211" i="5"/>
  <c r="R211" i="5"/>
  <c r="P211" i="5"/>
  <c r="O211" i="5"/>
  <c r="H211" i="5"/>
  <c r="Q209" i="5"/>
  <c r="P209" i="5"/>
  <c r="Q208" i="5"/>
  <c r="P208" i="5"/>
  <c r="X208" i="5" s="1"/>
  <c r="Q207" i="5"/>
  <c r="P207" i="5"/>
  <c r="Z207" i="5" s="1"/>
  <c r="Q205" i="5"/>
  <c r="P205" i="5"/>
  <c r="N205" i="5"/>
  <c r="Z204" i="5"/>
  <c r="Q204" i="5"/>
  <c r="X204" i="5" s="1"/>
  <c r="Z203" i="5"/>
  <c r="Q203" i="5"/>
  <c r="X203" i="5" s="1"/>
  <c r="I203" i="5"/>
  <c r="N203" i="5" s="1"/>
  <c r="N201" i="5" s="1"/>
  <c r="Z202" i="5"/>
  <c r="Q202" i="5"/>
  <c r="X202" i="5" s="1"/>
  <c r="Y201" i="5"/>
  <c r="Y198" i="5" s="1"/>
  <c r="W201" i="5"/>
  <c r="W198" i="5" s="1"/>
  <c r="W197" i="5" s="1"/>
  <c r="W196" i="5" s="1"/>
  <c r="W195" i="5" s="1"/>
  <c r="V201" i="5"/>
  <c r="V198" i="5" s="1"/>
  <c r="V197" i="5" s="1"/>
  <c r="V196" i="5" s="1"/>
  <c r="V195" i="5" s="1"/>
  <c r="U201" i="5"/>
  <c r="U198" i="5" s="1"/>
  <c r="U197" i="5" s="1"/>
  <c r="U196" i="5" s="1"/>
  <c r="U195" i="5" s="1"/>
  <c r="T201" i="5"/>
  <c r="T198" i="5" s="1"/>
  <c r="T197" i="5" s="1"/>
  <c r="T196" i="5" s="1"/>
  <c r="T195" i="5" s="1"/>
  <c r="S201" i="5"/>
  <c r="S198" i="5" s="1"/>
  <c r="S197" i="5" s="1"/>
  <c r="S196" i="5" s="1"/>
  <c r="S195" i="5" s="1"/>
  <c r="R201" i="5"/>
  <c r="R198" i="5" s="1"/>
  <c r="R197" i="5" s="1"/>
  <c r="R196" i="5" s="1"/>
  <c r="R195" i="5" s="1"/>
  <c r="P201" i="5"/>
  <c r="O201" i="5"/>
  <c r="O198" i="5" s="1"/>
  <c r="O197" i="5" s="1"/>
  <c r="O196" i="5" s="1"/>
  <c r="O195" i="5" s="1"/>
  <c r="M201" i="5"/>
  <c r="M198" i="5" s="1"/>
  <c r="M197" i="5" s="1"/>
  <c r="M196" i="5" s="1"/>
  <c r="M195" i="5" s="1"/>
  <c r="L201" i="5"/>
  <c r="L198" i="5" s="1"/>
  <c r="L197" i="5" s="1"/>
  <c r="L196" i="5" s="1"/>
  <c r="L195" i="5" s="1"/>
  <c r="K201" i="5"/>
  <c r="K198" i="5" s="1"/>
  <c r="K197" i="5" s="1"/>
  <c r="K196" i="5" s="1"/>
  <c r="K195" i="5" s="1"/>
  <c r="J201" i="5"/>
  <c r="J198" i="5" s="1"/>
  <c r="J197" i="5" s="1"/>
  <c r="J196" i="5" s="1"/>
  <c r="J195" i="5" s="1"/>
  <c r="I201" i="5"/>
  <c r="H201" i="5"/>
  <c r="Z200" i="5"/>
  <c r="Q199" i="5"/>
  <c r="X199" i="5" s="1"/>
  <c r="I199" i="5"/>
  <c r="H199" i="5"/>
  <c r="Z193" i="5"/>
  <c r="Q193" i="5"/>
  <c r="X193" i="5" s="1"/>
  <c r="Z192" i="5"/>
  <c r="Q192" i="5"/>
  <c r="X192" i="5" s="1"/>
  <c r="Q191" i="5"/>
  <c r="P191" i="5"/>
  <c r="Z190" i="5"/>
  <c r="Q190" i="5"/>
  <c r="X190" i="5" s="1"/>
  <c r="Z189" i="5"/>
  <c r="Z188" i="5"/>
  <c r="Y187" i="5"/>
  <c r="X187" i="5"/>
  <c r="W187" i="5"/>
  <c r="V187" i="5"/>
  <c r="U187" i="5"/>
  <c r="T187" i="5"/>
  <c r="S187" i="5"/>
  <c r="R187" i="5"/>
  <c r="Q187" i="5"/>
  <c r="P187" i="5"/>
  <c r="O187" i="5"/>
  <c r="H187" i="5"/>
  <c r="Z186" i="5"/>
  <c r="Q186" i="5"/>
  <c r="X186" i="5" s="1"/>
  <c r="Z185" i="5"/>
  <c r="Q185" i="5"/>
  <c r="X185" i="5" s="1"/>
  <c r="Z184" i="5"/>
  <c r="Q184" i="5"/>
  <c r="X184" i="5" s="1"/>
  <c r="Z183" i="5"/>
  <c r="Q183" i="5"/>
  <c r="X183" i="5" s="1"/>
  <c r="Z182" i="5"/>
  <c r="Q182" i="5"/>
  <c r="X182" i="5" s="1"/>
  <c r="Z181" i="5"/>
  <c r="Q181" i="5"/>
  <c r="Z180" i="5"/>
  <c r="Q180" i="5"/>
  <c r="X180" i="5" s="1"/>
  <c r="Z179" i="5"/>
  <c r="Q179" i="5"/>
  <c r="X179" i="5" s="1"/>
  <c r="V178" i="5"/>
  <c r="V173" i="5" s="1"/>
  <c r="U178" i="5"/>
  <c r="U173" i="5" s="1"/>
  <c r="T178" i="5"/>
  <c r="T173" i="5" s="1"/>
  <c r="S178" i="5"/>
  <c r="S173" i="5" s="1"/>
  <c r="R178" i="5"/>
  <c r="R173" i="5" s="1"/>
  <c r="P178" i="5"/>
  <c r="O178" i="5"/>
  <c r="O173" i="5" s="1"/>
  <c r="H178" i="5"/>
  <c r="Z177" i="5"/>
  <c r="Q177" i="5"/>
  <c r="Q174" i="5" s="1"/>
  <c r="Z176" i="5"/>
  <c r="Z175" i="5"/>
  <c r="Y174" i="5"/>
  <c r="W174" i="5"/>
  <c r="V174" i="5"/>
  <c r="U174" i="5"/>
  <c r="T174" i="5"/>
  <c r="S174" i="5"/>
  <c r="R174" i="5"/>
  <c r="P174" i="5"/>
  <c r="W173" i="5"/>
  <c r="P172" i="5"/>
  <c r="Z172" i="5" s="1"/>
  <c r="Z171" i="5"/>
  <c r="Z170" i="5"/>
  <c r="Q169" i="5"/>
  <c r="P169" i="5"/>
  <c r="O169" i="5"/>
  <c r="O167" i="5" s="1"/>
  <c r="I169" i="5"/>
  <c r="N169" i="5" s="1"/>
  <c r="Z168" i="5"/>
  <c r="I168" i="5"/>
  <c r="N168" i="5" s="1"/>
  <c r="Y167" i="5"/>
  <c r="W167" i="5"/>
  <c r="V167" i="5"/>
  <c r="U167" i="5"/>
  <c r="T167" i="5"/>
  <c r="S167" i="5"/>
  <c r="R167" i="5"/>
  <c r="P167" i="5"/>
  <c r="M167" i="5"/>
  <c r="L167" i="5"/>
  <c r="K167" i="5"/>
  <c r="J167" i="5"/>
  <c r="H167" i="5"/>
  <c r="Z166" i="5"/>
  <c r="Z165" i="5"/>
  <c r="I165" i="5"/>
  <c r="I164" i="5" s="1"/>
  <c r="P164" i="5"/>
  <c r="O164" i="5"/>
  <c r="M164" i="5"/>
  <c r="L164" i="5"/>
  <c r="K164" i="5"/>
  <c r="J164" i="5"/>
  <c r="H164" i="5"/>
  <c r="Z163" i="5"/>
  <c r="Q163" i="5"/>
  <c r="X163" i="5" s="1"/>
  <c r="I163" i="5"/>
  <c r="N163" i="5" s="1"/>
  <c r="Z162" i="5"/>
  <c r="Q162" i="5"/>
  <c r="I162" i="5"/>
  <c r="V161" i="5"/>
  <c r="U161" i="5"/>
  <c r="T161" i="5"/>
  <c r="S161" i="5"/>
  <c r="R161" i="5"/>
  <c r="P161" i="5"/>
  <c r="O161" i="5"/>
  <c r="M161" i="5"/>
  <c r="L161" i="5"/>
  <c r="K161" i="5"/>
  <c r="J161" i="5"/>
  <c r="H161" i="5"/>
  <c r="Z160" i="5"/>
  <c r="Q160" i="5"/>
  <c r="X160" i="5" s="1"/>
  <c r="O160" i="5"/>
  <c r="I160" i="5"/>
  <c r="N160" i="5" s="1"/>
  <c r="Z159" i="5"/>
  <c r="Q159" i="5"/>
  <c r="X159" i="5" s="1"/>
  <c r="O159" i="5"/>
  <c r="I159" i="5"/>
  <c r="N159" i="5" s="1"/>
  <c r="Z158" i="5"/>
  <c r="Z157" i="5"/>
  <c r="Z155" i="5"/>
  <c r="Q155" i="5"/>
  <c r="X155" i="5" s="1"/>
  <c r="Y154" i="5"/>
  <c r="Y153" i="5" s="1"/>
  <c r="W154" i="5"/>
  <c r="W153" i="5" s="1"/>
  <c r="V154" i="5"/>
  <c r="V153" i="5" s="1"/>
  <c r="U154" i="5"/>
  <c r="U153" i="5" s="1"/>
  <c r="T154" i="5"/>
  <c r="T153" i="5" s="1"/>
  <c r="S154" i="5"/>
  <c r="S153" i="5" s="1"/>
  <c r="R154" i="5"/>
  <c r="R153" i="5" s="1"/>
  <c r="P154" i="5"/>
  <c r="O154" i="5"/>
  <c r="I154" i="5"/>
  <c r="N154" i="5" s="1"/>
  <c r="M153" i="5"/>
  <c r="L153" i="5"/>
  <c r="K153" i="5"/>
  <c r="J153" i="5"/>
  <c r="H153" i="5"/>
  <c r="Z151" i="5"/>
  <c r="Z150" i="5"/>
  <c r="Z149" i="5"/>
  <c r="P148" i="5"/>
  <c r="Z147" i="5"/>
  <c r="Z146" i="5"/>
  <c r="Z145" i="5"/>
  <c r="P144" i="5"/>
  <c r="Z143" i="5"/>
  <c r="Z142" i="5"/>
  <c r="Z141" i="5"/>
  <c r="P140" i="5"/>
  <c r="Z139" i="5"/>
  <c r="I139" i="5"/>
  <c r="N139" i="5" s="1"/>
  <c r="Z138" i="5"/>
  <c r="I138" i="5"/>
  <c r="N138" i="5" s="1"/>
  <c r="Q137" i="5"/>
  <c r="P137" i="5"/>
  <c r="I137" i="5"/>
  <c r="N137" i="5" s="1"/>
  <c r="Q136" i="5"/>
  <c r="P136" i="5"/>
  <c r="O136" i="5"/>
  <c r="I136" i="5"/>
  <c r="N136" i="5" s="1"/>
  <c r="Q135" i="5"/>
  <c r="P135" i="5"/>
  <c r="O135" i="5"/>
  <c r="O134" i="5" s="1"/>
  <c r="I135" i="5"/>
  <c r="N135" i="5" s="1"/>
  <c r="Y134" i="5"/>
  <c r="W134" i="5"/>
  <c r="V134" i="5"/>
  <c r="U134" i="5"/>
  <c r="T134" i="5"/>
  <c r="S134" i="5"/>
  <c r="R134" i="5"/>
  <c r="M134" i="5"/>
  <c r="L134" i="5"/>
  <c r="K134" i="5"/>
  <c r="J134" i="5"/>
  <c r="H134" i="5"/>
  <c r="P133" i="5"/>
  <c r="P132" i="5"/>
  <c r="Z132" i="5" s="1"/>
  <c r="Q130" i="5"/>
  <c r="P130" i="5"/>
  <c r="Z129" i="5"/>
  <c r="Q129" i="5"/>
  <c r="X129" i="5" s="1"/>
  <c r="Z128" i="5"/>
  <c r="P127" i="5"/>
  <c r="Z127" i="5" s="1"/>
  <c r="Z126" i="5"/>
  <c r="P125" i="5"/>
  <c r="Z123" i="5"/>
  <c r="P122" i="5"/>
  <c r="Z122" i="5" s="1"/>
  <c r="Z121" i="5"/>
  <c r="Z120" i="5"/>
  <c r="Q119" i="5"/>
  <c r="P119" i="5"/>
  <c r="Z118" i="5"/>
  <c r="P117" i="5"/>
  <c r="Z117" i="5" s="1"/>
  <c r="Z116" i="5"/>
  <c r="Z115" i="5"/>
  <c r="Q114" i="5"/>
  <c r="Z113" i="5"/>
  <c r="Z112" i="5"/>
  <c r="P111" i="5"/>
  <c r="Z110" i="5"/>
  <c r="Z109" i="5"/>
  <c r="Z107" i="5"/>
  <c r="Y105" i="5"/>
  <c r="X105" i="5"/>
  <c r="W105" i="5"/>
  <c r="V105" i="5"/>
  <c r="U105" i="5"/>
  <c r="T105" i="5"/>
  <c r="S105" i="5"/>
  <c r="R105" i="5"/>
  <c r="Q105" i="5"/>
  <c r="Q102" i="5"/>
  <c r="P102" i="5"/>
  <c r="O102" i="5"/>
  <c r="H102" i="5"/>
  <c r="Z101" i="5"/>
  <c r="Q101" i="5"/>
  <c r="X101" i="5" s="1"/>
  <c r="O101" i="5"/>
  <c r="I101" i="5"/>
  <c r="H101" i="5"/>
  <c r="Q100" i="5"/>
  <c r="P100" i="5"/>
  <c r="Z99" i="5"/>
  <c r="Q99" i="5"/>
  <c r="X99" i="5" s="1"/>
  <c r="I99" i="5"/>
  <c r="N99" i="5" s="1"/>
  <c r="Z98" i="5"/>
  <c r="Q98" i="5"/>
  <c r="X98" i="5" s="1"/>
  <c r="I98" i="5"/>
  <c r="N98" i="5" s="1"/>
  <c r="Z97" i="5"/>
  <c r="Q97" i="5"/>
  <c r="X97" i="5" s="1"/>
  <c r="I97" i="5"/>
  <c r="N97" i="5" s="1"/>
  <c r="U96" i="5"/>
  <c r="T96" i="5"/>
  <c r="S96" i="5"/>
  <c r="R96" i="5"/>
  <c r="P96" i="5"/>
  <c r="O96" i="5"/>
  <c r="M96" i="5"/>
  <c r="L96" i="5"/>
  <c r="K96" i="5"/>
  <c r="J96" i="5"/>
  <c r="H96" i="5"/>
  <c r="Z95" i="5"/>
  <c r="Q95" i="5"/>
  <c r="X95" i="5" s="1"/>
  <c r="I95" i="5"/>
  <c r="N95" i="5" s="1"/>
  <c r="N94" i="5" s="1"/>
  <c r="U94" i="5"/>
  <c r="T94" i="5"/>
  <c r="S94" i="5"/>
  <c r="R94" i="5"/>
  <c r="P94" i="5"/>
  <c r="O94" i="5"/>
  <c r="M94" i="5"/>
  <c r="L94" i="5"/>
  <c r="K94" i="5"/>
  <c r="J94" i="5"/>
  <c r="H94" i="5"/>
  <c r="Z93" i="5"/>
  <c r="Q93" i="5"/>
  <c r="X93" i="5" s="1"/>
  <c r="I93" i="5"/>
  <c r="N93" i="5" s="1"/>
  <c r="N92" i="5" s="1"/>
  <c r="U92" i="5"/>
  <c r="T92" i="5"/>
  <c r="S92" i="5"/>
  <c r="R92" i="5"/>
  <c r="P92" i="5"/>
  <c r="O92" i="5"/>
  <c r="M92" i="5"/>
  <c r="L92" i="5"/>
  <c r="K92" i="5"/>
  <c r="J92" i="5"/>
  <c r="H92" i="5"/>
  <c r="Z91" i="5"/>
  <c r="Q91" i="5"/>
  <c r="X91" i="5" s="1"/>
  <c r="I91" i="5"/>
  <c r="N91" i="5" s="1"/>
  <c r="Z90" i="5"/>
  <c r="Q90" i="5"/>
  <c r="X90" i="5" s="1"/>
  <c r="V89" i="5"/>
  <c r="Q88" i="5"/>
  <c r="P88" i="5"/>
  <c r="O88" i="5"/>
  <c r="I88" i="5"/>
  <c r="N88" i="5" s="1"/>
  <c r="Q86" i="5"/>
  <c r="P86" i="5"/>
  <c r="Z86" i="5" s="1"/>
  <c r="O86" i="5"/>
  <c r="I86" i="5"/>
  <c r="N86" i="5" s="1"/>
  <c r="Z85" i="5"/>
  <c r="I85" i="5"/>
  <c r="Y84" i="5"/>
  <c r="W84" i="5"/>
  <c r="V84" i="5"/>
  <c r="U84" i="5"/>
  <c r="T84" i="5"/>
  <c r="S84" i="5"/>
  <c r="R84" i="5"/>
  <c r="M84" i="5"/>
  <c r="L84" i="5"/>
  <c r="K84" i="5"/>
  <c r="J84" i="5"/>
  <c r="H84" i="5"/>
  <c r="Z83" i="5"/>
  <c r="Q83" i="5"/>
  <c r="X83" i="5" s="1"/>
  <c r="O83" i="5"/>
  <c r="I83" i="5"/>
  <c r="N83" i="5" s="1"/>
  <c r="Z82" i="5"/>
  <c r="Q82" i="5"/>
  <c r="X82" i="5" s="1"/>
  <c r="O82" i="5"/>
  <c r="O81" i="5" s="1"/>
  <c r="I82" i="5"/>
  <c r="N82" i="5" s="1"/>
  <c r="N81" i="5" s="1"/>
  <c r="W81" i="5"/>
  <c r="V81" i="5"/>
  <c r="U81" i="5"/>
  <c r="T81" i="5"/>
  <c r="S81" i="5"/>
  <c r="R81" i="5"/>
  <c r="P81" i="5"/>
  <c r="M81" i="5"/>
  <c r="L81" i="5"/>
  <c r="K81" i="5"/>
  <c r="J81" i="5"/>
  <c r="J80" i="5" s="1"/>
  <c r="H81" i="5"/>
  <c r="Z79" i="5"/>
  <c r="Q79" i="5"/>
  <c r="X79" i="5" s="1"/>
  <c r="Z78" i="5"/>
  <c r="Q78" i="5"/>
  <c r="X78" i="5" s="1"/>
  <c r="I78" i="5"/>
  <c r="N78" i="5" s="1"/>
  <c r="Z77" i="5"/>
  <c r="I77" i="5"/>
  <c r="N77" i="5" s="1"/>
  <c r="Z76" i="5"/>
  <c r="I76" i="5"/>
  <c r="N76" i="5" s="1"/>
  <c r="W75" i="5"/>
  <c r="V75" i="5"/>
  <c r="U75" i="5"/>
  <c r="T75" i="5"/>
  <c r="S75" i="5"/>
  <c r="R75" i="5"/>
  <c r="P75" i="5"/>
  <c r="O75" i="5"/>
  <c r="M75" i="5"/>
  <c r="L75" i="5"/>
  <c r="K75" i="5"/>
  <c r="J75" i="5"/>
  <c r="H75" i="5"/>
  <c r="Z74" i="5"/>
  <c r="Q74" i="5"/>
  <c r="X74" i="5" s="1"/>
  <c r="Z73" i="5"/>
  <c r="Q73" i="5"/>
  <c r="X73" i="5" s="1"/>
  <c r="I73" i="5"/>
  <c r="N73" i="5" s="1"/>
  <c r="N72" i="5" s="1"/>
  <c r="Q72" i="5"/>
  <c r="P72" i="5"/>
  <c r="O72" i="5"/>
  <c r="M72" i="5"/>
  <c r="L72" i="5"/>
  <c r="K72" i="5"/>
  <c r="J72" i="5"/>
  <c r="H72" i="5"/>
  <c r="Z71" i="5"/>
  <c r="Q71" i="5"/>
  <c r="X71" i="5" s="1"/>
  <c r="O71" i="5"/>
  <c r="I71" i="5"/>
  <c r="N71" i="5" s="1"/>
  <c r="Z70" i="5"/>
  <c r="Q70" i="5"/>
  <c r="X70" i="5" s="1"/>
  <c r="O70" i="5"/>
  <c r="Z69" i="5"/>
  <c r="Q69" i="5"/>
  <c r="X69" i="5" s="1"/>
  <c r="Q68" i="5"/>
  <c r="P68" i="5"/>
  <c r="Z68" i="5" s="1"/>
  <c r="O68" i="5"/>
  <c r="I68" i="5"/>
  <c r="N68" i="5" s="1"/>
  <c r="Z67" i="5"/>
  <c r="Z66" i="5"/>
  <c r="Q66" i="5"/>
  <c r="X66" i="5" s="1"/>
  <c r="Z65" i="5"/>
  <c r="Q65" i="5"/>
  <c r="X65" i="5" s="1"/>
  <c r="O65" i="5"/>
  <c r="I65" i="5"/>
  <c r="N65" i="5" s="1"/>
  <c r="Z64" i="5"/>
  <c r="X64" i="5"/>
  <c r="O64" i="5"/>
  <c r="I64" i="5"/>
  <c r="H64" i="5"/>
  <c r="H59" i="5" s="1"/>
  <c r="Z63" i="5"/>
  <c r="I63" i="5"/>
  <c r="N63" i="5" s="1"/>
  <c r="Q62" i="5"/>
  <c r="P62" i="5"/>
  <c r="I62" i="5"/>
  <c r="N62" i="5" s="1"/>
  <c r="Z61" i="5"/>
  <c r="I61" i="5"/>
  <c r="N61" i="5" s="1"/>
  <c r="Z60" i="5"/>
  <c r="O60" i="5"/>
  <c r="I60" i="5"/>
  <c r="W59" i="5"/>
  <c r="V59" i="5"/>
  <c r="U59" i="5"/>
  <c r="T59" i="5"/>
  <c r="S59" i="5"/>
  <c r="R59" i="5"/>
  <c r="M59" i="5"/>
  <c r="L59" i="5"/>
  <c r="K59" i="5"/>
  <c r="J59" i="5"/>
  <c r="Z58" i="5"/>
  <c r="Q57" i="5"/>
  <c r="Q53" i="5" s="1"/>
  <c r="P57" i="5"/>
  <c r="P53" i="5" s="1"/>
  <c r="O57" i="5"/>
  <c r="O53" i="5" s="1"/>
  <c r="I57" i="5"/>
  <c r="N57" i="5" s="1"/>
  <c r="Z56" i="5"/>
  <c r="I56" i="5"/>
  <c r="N56" i="5" s="1"/>
  <c r="Z55" i="5"/>
  <c r="I55" i="5"/>
  <c r="N55" i="5" s="1"/>
  <c r="Z54" i="5"/>
  <c r="I54" i="5"/>
  <c r="N54" i="5" s="1"/>
  <c r="Y53" i="5"/>
  <c r="W53" i="5"/>
  <c r="V53" i="5"/>
  <c r="U53" i="5"/>
  <c r="T53" i="5"/>
  <c r="S53" i="5"/>
  <c r="R53" i="5"/>
  <c r="M53" i="5"/>
  <c r="L53" i="5"/>
  <c r="K53" i="5"/>
  <c r="J53" i="5"/>
  <c r="H53" i="5"/>
  <c r="Z52" i="5"/>
  <c r="Z51" i="5"/>
  <c r="Q50" i="5"/>
  <c r="P50" i="5"/>
  <c r="I50" i="5"/>
  <c r="N50" i="5" s="1"/>
  <c r="Q49" i="5"/>
  <c r="P49" i="5"/>
  <c r="Z49" i="5" s="1"/>
  <c r="O49" i="5"/>
  <c r="O46" i="5" s="1"/>
  <c r="I49" i="5"/>
  <c r="H49" i="5"/>
  <c r="H46" i="5" s="1"/>
  <c r="Q48" i="5"/>
  <c r="P48" i="5"/>
  <c r="J48" i="5"/>
  <c r="I48" i="5" s="1"/>
  <c r="N48" i="5" s="1"/>
  <c r="Q47" i="5"/>
  <c r="P47" i="5"/>
  <c r="P46" i="5" s="1"/>
  <c r="M47" i="5"/>
  <c r="M46" i="5" s="1"/>
  <c r="J47" i="5"/>
  <c r="Y46" i="5"/>
  <c r="Y40" i="5" s="1"/>
  <c r="W46" i="5"/>
  <c r="V46" i="5"/>
  <c r="U46" i="5"/>
  <c r="T46" i="5"/>
  <c r="S46" i="5"/>
  <c r="R46" i="5"/>
  <c r="L46" i="5"/>
  <c r="K46" i="5"/>
  <c r="Z45" i="5"/>
  <c r="O45" i="5"/>
  <c r="I45" i="5"/>
  <c r="H45" i="5"/>
  <c r="H43" i="5" s="1"/>
  <c r="Z44" i="5"/>
  <c r="O44" i="5"/>
  <c r="I44" i="5"/>
  <c r="I43" i="5" s="1"/>
  <c r="P43" i="5"/>
  <c r="M43" i="5"/>
  <c r="L43" i="5"/>
  <c r="K43" i="5"/>
  <c r="J43" i="5"/>
  <c r="Q42" i="5"/>
  <c r="P42" i="5"/>
  <c r="O42" i="5"/>
  <c r="I42" i="5"/>
  <c r="N42" i="5" s="1"/>
  <c r="Q41" i="5"/>
  <c r="P41" i="5"/>
  <c r="Z41" i="5" s="1"/>
  <c r="O41" i="5"/>
  <c r="I41" i="5"/>
  <c r="N41" i="5" s="1"/>
  <c r="Q39" i="5"/>
  <c r="P39" i="5"/>
  <c r="Q38" i="5"/>
  <c r="P38" i="5"/>
  <c r="I38" i="5"/>
  <c r="N38" i="5" s="1"/>
  <c r="Z37" i="5"/>
  <c r="Q37" i="5"/>
  <c r="X37" i="5" s="1"/>
  <c r="J37" i="5"/>
  <c r="J34" i="5" s="1"/>
  <c r="J31" i="5" s="1"/>
  <c r="Z36" i="5"/>
  <c r="X36" i="5"/>
  <c r="Z35" i="5"/>
  <c r="Q35" i="5"/>
  <c r="X35" i="5" s="1"/>
  <c r="I35" i="5"/>
  <c r="N35" i="5" s="1"/>
  <c r="Z34" i="5"/>
  <c r="W34" i="5"/>
  <c r="W31" i="5" s="1"/>
  <c r="V34" i="5"/>
  <c r="V31" i="5" s="1"/>
  <c r="T34" i="5"/>
  <c r="S34" i="5"/>
  <c r="S31" i="5" s="1"/>
  <c r="O34" i="5"/>
  <c r="M34" i="5"/>
  <c r="M31" i="5" s="1"/>
  <c r="L34" i="5"/>
  <c r="L31" i="5" s="1"/>
  <c r="K34" i="5"/>
  <c r="K31" i="5" s="1"/>
  <c r="H34" i="5"/>
  <c r="Z33" i="5"/>
  <c r="Q32" i="5"/>
  <c r="P32" i="5"/>
  <c r="O32" i="5"/>
  <c r="I32" i="5"/>
  <c r="H32" i="5"/>
  <c r="U31" i="5"/>
  <c r="R31" i="5"/>
  <c r="Y28" i="5"/>
  <c r="Z27" i="5"/>
  <c r="Q27" i="5"/>
  <c r="X27" i="5" s="1"/>
  <c r="Z26" i="5"/>
  <c r="Q26" i="5"/>
  <c r="X26" i="5" s="1"/>
  <c r="Z25" i="5"/>
  <c r="Q25" i="5"/>
  <c r="X25" i="5" s="1"/>
  <c r="O25" i="5"/>
  <c r="I25" i="5"/>
  <c r="N25" i="5" s="1"/>
  <c r="Z24" i="5"/>
  <c r="Q24" i="5"/>
  <c r="X24" i="5" s="1"/>
  <c r="X22" i="5" s="1"/>
  <c r="O24" i="5"/>
  <c r="I24" i="5"/>
  <c r="N24" i="5" s="1"/>
  <c r="Z23" i="5"/>
  <c r="Q23" i="5"/>
  <c r="O23" i="5"/>
  <c r="O22" i="5" s="1"/>
  <c r="I23" i="5"/>
  <c r="N23" i="5" s="1"/>
  <c r="Y22" i="5"/>
  <c r="W22" i="5"/>
  <c r="V22" i="5"/>
  <c r="U22" i="5"/>
  <c r="T22" i="5"/>
  <c r="S22" i="5"/>
  <c r="R22" i="5"/>
  <c r="P22" i="5"/>
  <c r="M22" i="5"/>
  <c r="L22" i="5"/>
  <c r="K22" i="5"/>
  <c r="J22" i="5"/>
  <c r="H22" i="5"/>
  <c r="Z21" i="5"/>
  <c r="Q21" i="5"/>
  <c r="Q20" i="5" s="1"/>
  <c r="I21" i="5"/>
  <c r="N21" i="5" s="1"/>
  <c r="N20" i="5" s="1"/>
  <c r="W20" i="5"/>
  <c r="V20" i="5"/>
  <c r="U20" i="5"/>
  <c r="U19" i="5" s="1"/>
  <c r="U18" i="5" s="1"/>
  <c r="T20" i="5"/>
  <c r="T19" i="5" s="1"/>
  <c r="T18" i="5" s="1"/>
  <c r="S20" i="5"/>
  <c r="R20" i="5"/>
  <c r="P20" i="5"/>
  <c r="P19" i="5" s="1"/>
  <c r="O20" i="5"/>
  <c r="M20" i="5"/>
  <c r="L20" i="5"/>
  <c r="K20" i="5"/>
  <c r="J20" i="5"/>
  <c r="H20" i="5"/>
  <c r="H19" i="5" s="1"/>
  <c r="V19" i="5"/>
  <c r="V18" i="5" s="1"/>
  <c r="Y18" i="5"/>
  <c r="O18" i="5"/>
  <c r="N18" i="5"/>
  <c r="M18" i="5"/>
  <c r="L18" i="5"/>
  <c r="K18" i="5"/>
  <c r="J18" i="5"/>
  <c r="I18" i="5"/>
  <c r="H18" i="5"/>
  <c r="Z17" i="5"/>
  <c r="Z16" i="5"/>
  <c r="Z15" i="5"/>
  <c r="Z14" i="5"/>
  <c r="Z13" i="5"/>
  <c r="Q13" i="5"/>
  <c r="X13" i="5" s="1"/>
  <c r="O13" i="5"/>
  <c r="I13" i="5"/>
  <c r="H13" i="5"/>
  <c r="Z12" i="5"/>
  <c r="Q12" i="5"/>
  <c r="O12" i="5"/>
  <c r="I12" i="5"/>
  <c r="H12" i="5"/>
  <c r="Y11" i="5"/>
  <c r="W11" i="5"/>
  <c r="W10" i="5" s="1"/>
  <c r="V11" i="5"/>
  <c r="V10" i="5" s="1"/>
  <c r="U11" i="5"/>
  <c r="U10" i="5" s="1"/>
  <c r="T11" i="5"/>
  <c r="T10" i="5" s="1"/>
  <c r="S11" i="5"/>
  <c r="S10" i="5" s="1"/>
  <c r="R11" i="5"/>
  <c r="R10" i="5" s="1"/>
  <c r="P11" i="5"/>
  <c r="P10" i="5" s="1"/>
  <c r="M11" i="5"/>
  <c r="M10" i="5" s="1"/>
  <c r="L11" i="5"/>
  <c r="L10" i="5" s="1"/>
  <c r="K11" i="5"/>
  <c r="K10" i="5" s="1"/>
  <c r="J11" i="5"/>
  <c r="J10" i="5" s="1"/>
  <c r="AB198" i="5" l="1"/>
  <c r="AB197" i="5" s="1"/>
  <c r="X47" i="5"/>
  <c r="J19" i="5"/>
  <c r="I22" i="5"/>
  <c r="AC46" i="5"/>
  <c r="AC360" i="5"/>
  <c r="AA31" i="5"/>
  <c r="AA131" i="5"/>
  <c r="P131" i="5"/>
  <c r="X137" i="5"/>
  <c r="Z355" i="5"/>
  <c r="L357" i="5"/>
  <c r="AB103" i="5"/>
  <c r="AC134" i="5"/>
  <c r="AC104" i="5" s="1"/>
  <c r="AC9" i="5" s="1"/>
  <c r="AC260" i="5"/>
  <c r="AC259" i="5" s="1"/>
  <c r="AB303" i="5"/>
  <c r="AB365" i="5"/>
  <c r="AA349" i="5"/>
  <c r="AA348" i="5" s="1"/>
  <c r="AA347" i="5" s="1"/>
  <c r="Z361" i="5"/>
  <c r="AA360" i="5"/>
  <c r="AA373" i="5"/>
  <c r="AB136" i="5"/>
  <c r="X39" i="5"/>
  <c r="H268" i="5"/>
  <c r="X287" i="5"/>
  <c r="X320" i="5"/>
  <c r="I337" i="5"/>
  <c r="N337" i="5" s="1"/>
  <c r="N336" i="5" s="1"/>
  <c r="N335" i="5" s="1"/>
  <c r="AA19" i="5"/>
  <c r="Z19" i="5" s="1"/>
  <c r="Q216" i="5"/>
  <c r="Z385" i="5"/>
  <c r="U325" i="5"/>
  <c r="P59" i="5"/>
  <c r="Q134" i="5"/>
  <c r="Z226" i="5"/>
  <c r="Z241" i="5"/>
  <c r="P268" i="5"/>
  <c r="AB350" i="5"/>
  <c r="P31" i="5"/>
  <c r="R325" i="5"/>
  <c r="AC274" i="5"/>
  <c r="AB272" i="5"/>
  <c r="AB271" i="5" s="1"/>
  <c r="AB268" i="5" s="1"/>
  <c r="P84" i="5"/>
  <c r="Z84" i="5" s="1"/>
  <c r="Z209" i="5"/>
  <c r="R301" i="5"/>
  <c r="V301" i="5"/>
  <c r="V293" i="5" s="1"/>
  <c r="Z310" i="5"/>
  <c r="AB106" i="5"/>
  <c r="AC234" i="5"/>
  <c r="AC268" i="5"/>
  <c r="AC220" i="5"/>
  <c r="K19" i="5"/>
  <c r="Z22" i="5"/>
  <c r="I37" i="5"/>
  <c r="N37" i="5" s="1"/>
  <c r="N34" i="5" s="1"/>
  <c r="Z42" i="5"/>
  <c r="X48" i="5"/>
  <c r="O59" i="5"/>
  <c r="O89" i="5"/>
  <c r="T89" i="5"/>
  <c r="Z136" i="5"/>
  <c r="Z148" i="5"/>
  <c r="Z199" i="5"/>
  <c r="U301" i="5"/>
  <c r="AB42" i="5"/>
  <c r="AC131" i="5"/>
  <c r="AB131" i="5" s="1"/>
  <c r="AC381" i="5"/>
  <c r="AC380" i="5" s="1"/>
  <c r="AC379" i="5" s="1"/>
  <c r="AC378" i="5" s="1"/>
  <c r="AA105" i="5"/>
  <c r="AA104" i="5" s="1"/>
  <c r="X376" i="5"/>
  <c r="Z376" i="5"/>
  <c r="AC53" i="5"/>
  <c r="AC40" i="5" s="1"/>
  <c r="AB57" i="5"/>
  <c r="AB53" i="5" s="1"/>
  <c r="P124" i="5"/>
  <c r="Z125" i="5"/>
  <c r="Z303" i="5"/>
  <c r="X303" i="5"/>
  <c r="J357" i="5"/>
  <c r="J358" i="5"/>
  <c r="Z154" i="5"/>
  <c r="P153" i="5"/>
  <c r="AB260" i="5"/>
  <c r="Z39" i="5"/>
  <c r="AB135" i="5"/>
  <c r="Z369" i="5"/>
  <c r="AB369" i="5"/>
  <c r="O153" i="5"/>
  <c r="O104" i="5" s="1"/>
  <c r="O100" i="5" s="1"/>
  <c r="X209" i="5"/>
  <c r="O213" i="5"/>
  <c r="O210" i="5" s="1"/>
  <c r="H213" i="5"/>
  <c r="K301" i="5"/>
  <c r="K293" i="5" s="1"/>
  <c r="N304" i="5"/>
  <c r="L301" i="5"/>
  <c r="U359" i="5"/>
  <c r="U357" i="5" s="1"/>
  <c r="AC196" i="5"/>
  <c r="AC195" i="5" s="1"/>
  <c r="AC373" i="5"/>
  <c r="N64" i="5"/>
  <c r="Z75" i="5"/>
  <c r="P89" i="5"/>
  <c r="U89" i="5"/>
  <c r="Z169" i="5"/>
  <c r="O268" i="5"/>
  <c r="O267" i="5" s="1"/>
  <c r="R268" i="5"/>
  <c r="R267" i="5" s="1"/>
  <c r="V268" i="5"/>
  <c r="V267" i="5" s="1"/>
  <c r="R359" i="5"/>
  <c r="R357" i="5" s="1"/>
  <c r="V359" i="5"/>
  <c r="V357" i="5" s="1"/>
  <c r="N367" i="5"/>
  <c r="Z374" i="5"/>
  <c r="Q373" i="5"/>
  <c r="N381" i="5"/>
  <c r="N380" i="5" s="1"/>
  <c r="N379" i="5" s="1"/>
  <c r="N378" i="5" s="1"/>
  <c r="AB241" i="5"/>
  <c r="AB240" i="5" s="1"/>
  <c r="AB239" i="5" s="1"/>
  <c r="AB238" i="5" s="1"/>
  <c r="AB237" i="5" s="1"/>
  <c r="AB287" i="5"/>
  <c r="AB394" i="5"/>
  <c r="I198" i="5"/>
  <c r="I197" i="5" s="1"/>
  <c r="I196" i="5" s="1"/>
  <c r="I195" i="5" s="1"/>
  <c r="R213" i="5"/>
  <c r="T268" i="5"/>
  <c r="P348" i="5"/>
  <c r="P347" i="5" s="1"/>
  <c r="Z347" i="5" s="1"/>
  <c r="X385" i="5"/>
  <c r="AB39" i="5"/>
  <c r="AB276" i="5"/>
  <c r="AB299" i="5"/>
  <c r="AB374" i="5"/>
  <c r="Z205" i="5"/>
  <c r="AA336" i="5"/>
  <c r="AA335" i="5" s="1"/>
  <c r="X41" i="5"/>
  <c r="W40" i="5"/>
  <c r="N49" i="5"/>
  <c r="Z57" i="5"/>
  <c r="L89" i="5"/>
  <c r="O11" i="5"/>
  <c r="O10" i="5" s="1"/>
  <c r="P18" i="5"/>
  <c r="Z18" i="5" s="1"/>
  <c r="L19" i="5"/>
  <c r="Q22" i="5"/>
  <c r="Q19" i="5" s="1"/>
  <c r="Q18" i="5" s="1"/>
  <c r="O31" i="5"/>
  <c r="O43" i="5"/>
  <c r="X62" i="5"/>
  <c r="X59" i="5" s="1"/>
  <c r="X68" i="5"/>
  <c r="X86" i="5"/>
  <c r="Z135" i="5"/>
  <c r="X205" i="5"/>
  <c r="V213" i="5"/>
  <c r="V210" i="5" s="1"/>
  <c r="N213" i="5"/>
  <c r="N210" i="5" s="1"/>
  <c r="J237" i="5"/>
  <c r="J233" i="5" s="1"/>
  <c r="W267" i="5"/>
  <c r="W266" i="5" s="1"/>
  <c r="X275" i="5"/>
  <c r="N281" i="5"/>
  <c r="X310" i="5"/>
  <c r="X307" i="5" s="1"/>
  <c r="X355" i="5"/>
  <c r="X358" i="5"/>
  <c r="X367" i="5"/>
  <c r="X369" i="5"/>
  <c r="P381" i="5"/>
  <c r="P380" i="5" s="1"/>
  <c r="P379" i="5" s="1"/>
  <c r="P378" i="5" s="1"/>
  <c r="AB169" i="5"/>
  <c r="AB167" i="5" s="1"/>
  <c r="AB72" i="5"/>
  <c r="AC297" i="5"/>
  <c r="AC294" i="5" s="1"/>
  <c r="AB310" i="5"/>
  <c r="AB361" i="5"/>
  <c r="AB360" i="5" s="1"/>
  <c r="AB376" i="5"/>
  <c r="AB133" i="5"/>
  <c r="AA268" i="5"/>
  <c r="AA325" i="5"/>
  <c r="Z358" i="5"/>
  <c r="AA381" i="5"/>
  <c r="AA380" i="5" s="1"/>
  <c r="AB279" i="5"/>
  <c r="H173" i="5"/>
  <c r="H104" i="5" s="1"/>
  <c r="H100" i="5" s="1"/>
  <c r="X263" i="5"/>
  <c r="K268" i="5"/>
  <c r="X270" i="5"/>
  <c r="X269" i="5" s="1"/>
  <c r="H301" i="5"/>
  <c r="S301" i="5"/>
  <c r="X313" i="5"/>
  <c r="X314" i="5"/>
  <c r="M357" i="5"/>
  <c r="X362" i="5"/>
  <c r="O373" i="5"/>
  <c r="X384" i="5"/>
  <c r="AB81" i="5"/>
  <c r="AB205" i="5"/>
  <c r="AC240" i="5"/>
  <c r="AC239" i="5" s="1"/>
  <c r="AC238" i="5" s="1"/>
  <c r="AC237" i="5" s="1"/>
  <c r="AC233" i="5" s="1"/>
  <c r="AC398" i="5" s="1"/>
  <c r="AA46" i="5"/>
  <c r="Z46" i="5" s="1"/>
  <c r="AB191" i="5"/>
  <c r="AA259" i="5"/>
  <c r="Z259" i="5" s="1"/>
  <c r="AA274" i="5"/>
  <c r="AA273" i="5" s="1"/>
  <c r="AB375" i="5"/>
  <c r="Z386" i="5"/>
  <c r="X87" i="5"/>
  <c r="AC213" i="5"/>
  <c r="Z208" i="5"/>
  <c r="U213" i="5"/>
  <c r="U210" i="5" s="1"/>
  <c r="Z250" i="5"/>
  <c r="AB119" i="5"/>
  <c r="Z48" i="5"/>
  <c r="AA80" i="5"/>
  <c r="AA198" i="5"/>
  <c r="AA197" i="5" s="1"/>
  <c r="Z287" i="5"/>
  <c r="AB304" i="5"/>
  <c r="Z367" i="5"/>
  <c r="AB220" i="5"/>
  <c r="AB290" i="5"/>
  <c r="AB284" i="5" s="1"/>
  <c r="Q234" i="5"/>
  <c r="X234" i="5" s="1"/>
  <c r="T267" i="5"/>
  <c r="I311" i="5"/>
  <c r="M19" i="5"/>
  <c r="N96" i="5"/>
  <c r="N89" i="5" s="1"/>
  <c r="Q154" i="5"/>
  <c r="Q153" i="5" s="1"/>
  <c r="I167" i="5"/>
  <c r="Q271" i="5"/>
  <c r="Q268" i="5" s="1"/>
  <c r="X272" i="5"/>
  <c r="X271" i="5" s="1"/>
  <c r="H40" i="5"/>
  <c r="M40" i="5"/>
  <c r="U40" i="5"/>
  <c r="R40" i="5"/>
  <c r="S40" i="5"/>
  <c r="N75" i="5"/>
  <c r="X100" i="5"/>
  <c r="I242" i="5"/>
  <c r="I237" i="5" s="1"/>
  <c r="N255" i="5"/>
  <c r="N254" i="5" s="1"/>
  <c r="I254" i="5"/>
  <c r="I273" i="5"/>
  <c r="N288" i="5"/>
  <c r="N273" i="5" s="1"/>
  <c r="I326" i="5"/>
  <c r="S325" i="5"/>
  <c r="T325" i="5"/>
  <c r="I359" i="5"/>
  <c r="I357" i="5" s="1"/>
  <c r="AB227" i="5"/>
  <c r="W80" i="5"/>
  <c r="H89" i="5"/>
  <c r="R89" i="5"/>
  <c r="X227" i="5"/>
  <c r="U335" i="5"/>
  <c r="AB75" i="5"/>
  <c r="Z140" i="5"/>
  <c r="Z11" i="5"/>
  <c r="X38" i="5"/>
  <c r="R80" i="5"/>
  <c r="I92" i="5"/>
  <c r="I94" i="5"/>
  <c r="M89" i="5"/>
  <c r="Q94" i="5"/>
  <c r="X94" i="5" s="1"/>
  <c r="X102" i="5"/>
  <c r="M237" i="5"/>
  <c r="M233" i="5" s="1"/>
  <c r="H237" i="5"/>
  <c r="H233" i="5" s="1"/>
  <c r="K237" i="5"/>
  <c r="K233" i="5" s="1"/>
  <c r="H267" i="5"/>
  <c r="M268" i="5"/>
  <c r="M267" i="5" s="1"/>
  <c r="I304" i="5"/>
  <c r="Z326" i="5"/>
  <c r="S335" i="5"/>
  <c r="Q339" i="5"/>
  <c r="Q335" i="5" s="1"/>
  <c r="V335" i="5"/>
  <c r="AC89" i="5"/>
  <c r="Z94" i="5"/>
  <c r="X191" i="5"/>
  <c r="Z191" i="5"/>
  <c r="O237" i="5"/>
  <c r="O233" i="5" s="1"/>
  <c r="K267" i="5"/>
  <c r="U268" i="5"/>
  <c r="U267" i="5" s="1"/>
  <c r="J268" i="5"/>
  <c r="J267" i="5" s="1"/>
  <c r="S268" i="5"/>
  <c r="S267" i="5" s="1"/>
  <c r="I320" i="5"/>
  <c r="N321" i="5"/>
  <c r="N320" i="5" s="1"/>
  <c r="L325" i="5"/>
  <c r="Z100" i="5"/>
  <c r="H31" i="5"/>
  <c r="K40" i="5"/>
  <c r="Q75" i="5"/>
  <c r="X75" i="5"/>
  <c r="Z92" i="5"/>
  <c r="Q297" i="5"/>
  <c r="Q294" i="5" s="1"/>
  <c r="X332" i="5"/>
  <c r="R335" i="5"/>
  <c r="T335" i="5"/>
  <c r="X394" i="5"/>
  <c r="X393" i="5" s="1"/>
  <c r="X392" i="5" s="1"/>
  <c r="X391" i="5" s="1"/>
  <c r="AC301" i="5"/>
  <c r="AB307" i="5"/>
  <c r="AB386" i="5"/>
  <c r="AB393" i="5"/>
  <c r="AB392" i="5" s="1"/>
  <c r="AB391" i="5" s="1"/>
  <c r="Z53" i="5"/>
  <c r="AA89" i="5"/>
  <c r="Z89" i="5" s="1"/>
  <c r="Z102" i="5"/>
  <c r="Z223" i="5"/>
  <c r="Z242" i="5"/>
  <c r="S233" i="5"/>
  <c r="I11" i="5"/>
  <c r="I10" i="5" s="1"/>
  <c r="S89" i="5"/>
  <c r="K89" i="5"/>
  <c r="N12" i="5"/>
  <c r="I20" i="5"/>
  <c r="I19" i="5" s="1"/>
  <c r="L40" i="5"/>
  <c r="X72" i="5"/>
  <c r="T80" i="5"/>
  <c r="N101" i="5"/>
  <c r="X154" i="5"/>
  <c r="X153" i="5" s="1"/>
  <c r="X169" i="5"/>
  <c r="X167" i="5" s="1"/>
  <c r="Q167" i="5"/>
  <c r="T233" i="5"/>
  <c r="X247" i="5"/>
  <c r="X246" i="5" s="1"/>
  <c r="X245" i="5" s="1"/>
  <c r="X244" i="5" s="1"/>
  <c r="Q246" i="5"/>
  <c r="Q245" i="5" s="1"/>
  <c r="I268" i="5"/>
  <c r="R293" i="5"/>
  <c r="P325" i="5"/>
  <c r="T359" i="5"/>
  <c r="T357" i="5" s="1"/>
  <c r="X361" i="5"/>
  <c r="Z72" i="5"/>
  <c r="AA161" i="5"/>
  <c r="Z161" i="5" s="1"/>
  <c r="AB164" i="5"/>
  <c r="AB161" i="5" s="1"/>
  <c r="Z227" i="5"/>
  <c r="S19" i="5"/>
  <c r="S18" i="5" s="1"/>
  <c r="W19" i="5"/>
  <c r="W18" i="5" s="1"/>
  <c r="R19" i="5"/>
  <c r="R18" i="5" s="1"/>
  <c r="N22" i="5"/>
  <c r="N19" i="5" s="1"/>
  <c r="X42" i="5"/>
  <c r="N45" i="5"/>
  <c r="V40" i="5"/>
  <c r="Q46" i="5"/>
  <c r="X50" i="5"/>
  <c r="S80" i="5"/>
  <c r="X81" i="5"/>
  <c r="J89" i="5"/>
  <c r="Q96" i="5"/>
  <c r="X96" i="5" s="1"/>
  <c r="I161" i="5"/>
  <c r="N162" i="5"/>
  <c r="N161" i="5" s="1"/>
  <c r="P173" i="5"/>
  <c r="Z173" i="5" s="1"/>
  <c r="S213" i="5"/>
  <c r="S210" i="5" s="1"/>
  <c r="U233" i="5"/>
  <c r="L237" i="5"/>
  <c r="L233" i="5" s="1"/>
  <c r="N280" i="5"/>
  <c r="X283" i="5"/>
  <c r="X302" i="5"/>
  <c r="N311" i="5"/>
  <c r="H325" i="5"/>
  <c r="Z394" i="5"/>
  <c r="P393" i="5"/>
  <c r="P392" i="5" s="1"/>
  <c r="P391" i="5" s="1"/>
  <c r="AC348" i="5"/>
  <c r="AC347" i="5" s="1"/>
  <c r="AA301" i="5"/>
  <c r="Z332" i="5"/>
  <c r="X119" i="5"/>
  <c r="N153" i="5"/>
  <c r="N199" i="5"/>
  <c r="N198" i="5" s="1"/>
  <c r="N197" i="5" s="1"/>
  <c r="N196" i="5" s="1"/>
  <c r="N195" i="5" s="1"/>
  <c r="X207" i="5"/>
  <c r="T213" i="5"/>
  <c r="T210" i="5" s="1"/>
  <c r="P213" i="5"/>
  <c r="P210" i="5" s="1"/>
  <c r="L268" i="5"/>
  <c r="L267" i="5" s="1"/>
  <c r="N279" i="5"/>
  <c r="X280" i="5"/>
  <c r="N282" i="5"/>
  <c r="T301" i="5"/>
  <c r="S359" i="5"/>
  <c r="S357" i="5" s="1"/>
  <c r="X375" i="5"/>
  <c r="I394" i="5"/>
  <c r="I393" i="5" s="1"/>
  <c r="I392" i="5" s="1"/>
  <c r="I391" i="5" s="1"/>
  <c r="AB187" i="5"/>
  <c r="AC273" i="5"/>
  <c r="AB332" i="5"/>
  <c r="Z96" i="5"/>
  <c r="Z271" i="5"/>
  <c r="Z329" i="5"/>
  <c r="AB148" i="5"/>
  <c r="X201" i="5"/>
  <c r="Q59" i="5"/>
  <c r="Q84" i="5"/>
  <c r="Q178" i="5"/>
  <c r="Q173" i="5" s="1"/>
  <c r="AB124" i="5"/>
  <c r="U104" i="5"/>
  <c r="AB114" i="5"/>
  <c r="S104" i="5"/>
  <c r="Y104" i="5"/>
  <c r="Y9" i="5" s="1"/>
  <c r="I84" i="5"/>
  <c r="L80" i="5"/>
  <c r="H80" i="5"/>
  <c r="M80" i="5"/>
  <c r="I59" i="5"/>
  <c r="X88" i="5"/>
  <c r="V80" i="5"/>
  <c r="Q81" i="5"/>
  <c r="K80" i="5"/>
  <c r="U80" i="5"/>
  <c r="AA239" i="5"/>
  <c r="Z240" i="5"/>
  <c r="AB311" i="5"/>
  <c r="Z311" i="5"/>
  <c r="Z246" i="5"/>
  <c r="AA244" i="5"/>
  <c r="AA213" i="5"/>
  <c r="AA210" i="5" s="1"/>
  <c r="Z284" i="5"/>
  <c r="AB47" i="5"/>
  <c r="AB385" i="5"/>
  <c r="Z47" i="5"/>
  <c r="Z59" i="5"/>
  <c r="Z81" i="5"/>
  <c r="Z103" i="5"/>
  <c r="Z270" i="5"/>
  <c r="Z320" i="5"/>
  <c r="AB48" i="5"/>
  <c r="AB156" i="5"/>
  <c r="AB313" i="5"/>
  <c r="AB367" i="5"/>
  <c r="AB384" i="5"/>
  <c r="Z20" i="5"/>
  <c r="Z178" i="5"/>
  <c r="Z133" i="5"/>
  <c r="Z201" i="5"/>
  <c r="Z275" i="5"/>
  <c r="Z313" i="5"/>
  <c r="AB137" i="5"/>
  <c r="AB250" i="5"/>
  <c r="AB270" i="5"/>
  <c r="AB269" i="5" s="1"/>
  <c r="AB337" i="5"/>
  <c r="AB336" i="5" s="1"/>
  <c r="AB335" i="5" s="1"/>
  <c r="AB349" i="5"/>
  <c r="AB348" i="5" s="1"/>
  <c r="AB347" i="5" s="1"/>
  <c r="AB259" i="5"/>
  <c r="AB38" i="5"/>
  <c r="AB43" i="5"/>
  <c r="AB108" i="5"/>
  <c r="AB226" i="5"/>
  <c r="AB223" i="5" s="1"/>
  <c r="AB144" i="5"/>
  <c r="AB140" i="5"/>
  <c r="R104" i="5"/>
  <c r="V104" i="5"/>
  <c r="W104" i="5"/>
  <c r="T104" i="5"/>
  <c r="P244" i="5"/>
  <c r="N53" i="5"/>
  <c r="N134" i="5"/>
  <c r="O19" i="5"/>
  <c r="Z164" i="5"/>
  <c r="N167" i="5"/>
  <c r="Z234" i="5"/>
  <c r="X288" i="5"/>
  <c r="X273" i="5" s="1"/>
  <c r="Q273" i="5"/>
  <c r="X295" i="5"/>
  <c r="H359" i="5"/>
  <c r="N360" i="5"/>
  <c r="X12" i="5"/>
  <c r="X11" i="5" s="1"/>
  <c r="X10" i="5" s="1"/>
  <c r="Q11" i="5"/>
  <c r="Q10" i="5" s="1"/>
  <c r="X21" i="5"/>
  <c r="X20" i="5" s="1"/>
  <c r="X19" i="5" s="1"/>
  <c r="X18" i="5" s="1"/>
  <c r="Z43" i="5"/>
  <c r="X49" i="5"/>
  <c r="N60" i="5"/>
  <c r="I75" i="5"/>
  <c r="Z111" i="5"/>
  <c r="P105" i="5"/>
  <c r="Z131" i="5"/>
  <c r="I134" i="5"/>
  <c r="Z144" i="5"/>
  <c r="I153" i="5"/>
  <c r="X162" i="5"/>
  <c r="X161" i="5" s="1"/>
  <c r="Q161" i="5"/>
  <c r="X299" i="5"/>
  <c r="X297" i="5" s="1"/>
  <c r="P297" i="5"/>
  <c r="P294" i="5" s="1"/>
  <c r="Z304" i="5"/>
  <c r="N308" i="5"/>
  <c r="N307" i="5" s="1"/>
  <c r="Q320" i="5"/>
  <c r="Q329" i="5"/>
  <c r="X330" i="5"/>
  <c r="X329" i="5" s="1"/>
  <c r="I336" i="5"/>
  <c r="I335" i="5" s="1"/>
  <c r="O360" i="5"/>
  <c r="O359" i="5" s="1"/>
  <c r="N32" i="5"/>
  <c r="X32" i="5"/>
  <c r="Q34" i="5"/>
  <c r="T31" i="5"/>
  <c r="Z38" i="5"/>
  <c r="X57" i="5"/>
  <c r="X53" i="5" s="1"/>
  <c r="I72" i="5"/>
  <c r="I81" i="5"/>
  <c r="N85" i="5"/>
  <c r="N84" i="5" s="1"/>
  <c r="N80" i="5" s="1"/>
  <c r="O84" i="5"/>
  <c r="O80" i="5" s="1"/>
  <c r="P114" i="5"/>
  <c r="X114" i="5" s="1"/>
  <c r="Z124" i="5"/>
  <c r="X130" i="5"/>
  <c r="N165" i="5"/>
  <c r="N164" i="5" s="1"/>
  <c r="Z167" i="5"/>
  <c r="X177" i="5"/>
  <c r="X174" i="5" s="1"/>
  <c r="X181" i="5"/>
  <c r="X178" i="5" s="1"/>
  <c r="X173" i="5" s="1"/>
  <c r="Z187" i="5"/>
  <c r="H198" i="5"/>
  <c r="H197" i="5" s="1"/>
  <c r="H196" i="5" s="1"/>
  <c r="H195" i="5" s="1"/>
  <c r="P198" i="5"/>
  <c r="P197" i="5" s="1"/>
  <c r="Q201" i="5"/>
  <c r="Q198" i="5" s="1"/>
  <c r="Q197" i="5" s="1"/>
  <c r="Q196" i="5" s="1"/>
  <c r="Q195" i="5" s="1"/>
  <c r="Z211" i="5"/>
  <c r="I213" i="5"/>
  <c r="I210" i="5" s="1"/>
  <c r="Q214" i="5"/>
  <c r="Z220" i="5"/>
  <c r="Q227" i="5"/>
  <c r="Z260" i="5"/>
  <c r="X279" i="5"/>
  <c r="Z279" i="5"/>
  <c r="Z280" i="5"/>
  <c r="P301" i="5"/>
  <c r="Z302" i="5"/>
  <c r="M301" i="5"/>
  <c r="M293" i="5" s="1"/>
  <c r="Z337" i="5"/>
  <c r="P360" i="5"/>
  <c r="H11" i="5"/>
  <c r="H10" i="5" s="1"/>
  <c r="N13" i="5"/>
  <c r="Z32" i="5"/>
  <c r="P40" i="5"/>
  <c r="N44" i="5"/>
  <c r="J46" i="5"/>
  <c r="J40" i="5" s="1"/>
  <c r="J30" i="5" s="1"/>
  <c r="J29" i="5" s="1"/>
  <c r="J28" i="5" s="1"/>
  <c r="T40" i="5"/>
  <c r="I47" i="5"/>
  <c r="Z50" i="5"/>
  <c r="I53" i="5"/>
  <c r="Z62" i="5"/>
  <c r="Z88" i="5"/>
  <c r="Q92" i="5"/>
  <c r="X92" i="5" s="1"/>
  <c r="I96" i="5"/>
  <c r="Z119" i="5"/>
  <c r="Z130" i="5"/>
  <c r="X136" i="5"/>
  <c r="P134" i="5"/>
  <c r="Z137" i="5"/>
  <c r="Z153" i="5"/>
  <c r="R210" i="5"/>
  <c r="Q211" i="5"/>
  <c r="X212" i="5"/>
  <c r="X211" i="5" s="1"/>
  <c r="Z216" i="5"/>
  <c r="R233" i="5"/>
  <c r="V233" i="5"/>
  <c r="P238" i="5"/>
  <c r="P237" i="5" s="1"/>
  <c r="N241" i="5"/>
  <c r="N240" i="5" s="1"/>
  <c r="N239" i="5" s="1"/>
  <c r="N238" i="5" s="1"/>
  <c r="N237" i="5" s="1"/>
  <c r="X241" i="5"/>
  <c r="X240" i="5" s="1"/>
  <c r="X239" i="5" s="1"/>
  <c r="X238" i="5" s="1"/>
  <c r="X237" i="5" s="1"/>
  <c r="Q254" i="5"/>
  <c r="X254" i="5" s="1"/>
  <c r="Z269" i="5"/>
  <c r="P274" i="5"/>
  <c r="P273" i="5" s="1"/>
  <c r="P267" i="5" s="1"/>
  <c r="Z299" i="5"/>
  <c r="J301" i="5"/>
  <c r="X311" i="5"/>
  <c r="K358" i="5"/>
  <c r="Q381" i="5"/>
  <c r="Q380" i="5" s="1"/>
  <c r="Q379" i="5" s="1"/>
  <c r="Q378" i="5" s="1"/>
  <c r="I297" i="5"/>
  <c r="I294" i="5" s="1"/>
  <c r="X339" i="5"/>
  <c r="X342" i="5"/>
  <c r="W359" i="5"/>
  <c r="H210" i="5"/>
  <c r="Q244" i="5"/>
  <c r="X261" i="5"/>
  <c r="X260" i="5" s="1"/>
  <c r="Q260" i="5"/>
  <c r="Q259" i="5" s="1"/>
  <c r="Z263" i="5"/>
  <c r="N270" i="5"/>
  <c r="N269" i="5" s="1"/>
  <c r="N268" i="5" s="1"/>
  <c r="N295" i="5"/>
  <c r="N298" i="5"/>
  <c r="N297" i="5" s="1"/>
  <c r="Z307" i="5"/>
  <c r="Q307" i="5"/>
  <c r="Q311" i="5"/>
  <c r="O311" i="5"/>
  <c r="O301" i="5" s="1"/>
  <c r="J325" i="5"/>
  <c r="X327" i="5"/>
  <c r="X326" i="5" s="1"/>
  <c r="Q326" i="5"/>
  <c r="N330" i="5"/>
  <c r="N329" i="5" s="1"/>
  <c r="N325" i="5" s="1"/>
  <c r="I329" i="5"/>
  <c r="X337" i="5"/>
  <c r="X336" i="5" s="1"/>
  <c r="P336" i="5"/>
  <c r="P335" i="5" s="1"/>
  <c r="Q342" i="5"/>
  <c r="X374" i="5"/>
  <c r="P373" i="5"/>
  <c r="I381" i="5"/>
  <c r="I380" i="5" s="1"/>
  <c r="I379" i="5" s="1"/>
  <c r="I378" i="5" s="1"/>
  <c r="Q394" i="5"/>
  <c r="Q393" i="5" s="1"/>
  <c r="Q392" i="5" s="1"/>
  <c r="Q391" i="5" s="1"/>
  <c r="R393" i="5"/>
  <c r="R392" i="5" s="1"/>
  <c r="R391" i="5" s="1"/>
  <c r="N395" i="5"/>
  <c r="N394" i="5" s="1"/>
  <c r="N393" i="5" s="1"/>
  <c r="N392" i="5" s="1"/>
  <c r="N391" i="5" s="1"/>
  <c r="O329" i="5"/>
  <c r="O325" i="5" s="1"/>
  <c r="Q332" i="5"/>
  <c r="X350" i="5"/>
  <c r="X348" i="5" s="1"/>
  <c r="X347" i="5" s="1"/>
  <c r="Q348" i="5"/>
  <c r="Q347" i="5" s="1"/>
  <c r="Q360" i="5"/>
  <c r="Q359" i="5" s="1"/>
  <c r="Q357" i="5" s="1"/>
  <c r="Z375" i="5"/>
  <c r="AB246" i="5" l="1"/>
  <c r="AB245" i="5" s="1"/>
  <c r="AB405" i="5"/>
  <c r="H293" i="5"/>
  <c r="H266" i="5" s="1"/>
  <c r="AB134" i="5"/>
  <c r="AC359" i="5"/>
  <c r="K266" i="5"/>
  <c r="AA359" i="5"/>
  <c r="AA357" i="5" s="1"/>
  <c r="N59" i="5"/>
  <c r="V266" i="5"/>
  <c r="X134" i="5"/>
  <c r="Z349" i="5"/>
  <c r="AB301" i="5"/>
  <c r="AB105" i="5"/>
  <c r="AB104" i="5" s="1"/>
  <c r="AB9" i="5" s="1"/>
  <c r="U293" i="5"/>
  <c r="AA196" i="5"/>
  <c r="I233" i="5"/>
  <c r="I34" i="5"/>
  <c r="I31" i="5" s="1"/>
  <c r="P80" i="5"/>
  <c r="V30" i="5"/>
  <c r="V29" i="5" s="1"/>
  <c r="V28" i="5" s="1"/>
  <c r="V9" i="5" s="1"/>
  <c r="V398" i="5" s="1"/>
  <c r="AC267" i="5"/>
  <c r="I301" i="5"/>
  <c r="AB297" i="5"/>
  <c r="X381" i="5"/>
  <c r="X380" i="5" s="1"/>
  <c r="X379" i="5" s="1"/>
  <c r="X378" i="5" s="1"/>
  <c r="O40" i="5"/>
  <c r="I80" i="5"/>
  <c r="N31" i="5"/>
  <c r="N359" i="5"/>
  <c r="N358" i="5" s="1"/>
  <c r="R266" i="5"/>
  <c r="I358" i="5"/>
  <c r="Q40" i="5"/>
  <c r="R30" i="5"/>
  <c r="R29" i="5" s="1"/>
  <c r="R28" i="5" s="1"/>
  <c r="AB373" i="5"/>
  <c r="AB359" i="5" s="1"/>
  <c r="Z348" i="5"/>
  <c r="AC210" i="5"/>
  <c r="AB274" i="5"/>
  <c r="AB273" i="5" s="1"/>
  <c r="AB267" i="5" s="1"/>
  <c r="L293" i="5"/>
  <c r="L266" i="5" s="1"/>
  <c r="I89" i="5"/>
  <c r="J9" i="5"/>
  <c r="N11" i="5"/>
  <c r="N10" i="5" s="1"/>
  <c r="M266" i="5"/>
  <c r="AB31" i="5"/>
  <c r="AB46" i="5"/>
  <c r="AB40" i="5" s="1"/>
  <c r="X198" i="5"/>
  <c r="X197" i="5" s="1"/>
  <c r="T293" i="5"/>
  <c r="T266" i="5" s="1"/>
  <c r="M30" i="5"/>
  <c r="M29" i="5" s="1"/>
  <c r="M28" i="5" s="1"/>
  <c r="M9" i="5" s="1"/>
  <c r="AC30" i="5"/>
  <c r="AC29" i="5" s="1"/>
  <c r="N301" i="5"/>
  <c r="Z80" i="5"/>
  <c r="Q80" i="5"/>
  <c r="Z325" i="5"/>
  <c r="X268" i="5"/>
  <c r="X267" i="5" s="1"/>
  <c r="S293" i="5"/>
  <c r="S266" i="5" s="1"/>
  <c r="Z380" i="5"/>
  <c r="X259" i="5"/>
  <c r="X233" i="5" s="1"/>
  <c r="X360" i="5"/>
  <c r="N267" i="5"/>
  <c r="N233" i="5"/>
  <c r="O30" i="5"/>
  <c r="O29" i="5" s="1"/>
  <c r="O28" i="5" s="1"/>
  <c r="O9" i="5" s="1"/>
  <c r="AA40" i="5"/>
  <c r="AA30" i="5" s="1"/>
  <c r="AA29" i="5" s="1"/>
  <c r="AA28" i="5" s="1"/>
  <c r="AA9" i="5" s="1"/>
  <c r="X373" i="5"/>
  <c r="I325" i="5"/>
  <c r="I293" i="5" s="1"/>
  <c r="Z381" i="5"/>
  <c r="AA379" i="5"/>
  <c r="X84" i="5"/>
  <c r="X80" i="5" s="1"/>
  <c r="S30" i="5"/>
  <c r="S29" i="5" s="1"/>
  <c r="S28" i="5" s="1"/>
  <c r="S9" i="5" s="1"/>
  <c r="W30" i="5"/>
  <c r="W29" i="5" s="1"/>
  <c r="W28" i="5" s="1"/>
  <c r="W9" i="5" s="1"/>
  <c r="W398" i="5" s="1"/>
  <c r="Q104" i="5"/>
  <c r="AA267" i="5"/>
  <c r="AA195" i="5"/>
  <c r="AC293" i="5"/>
  <c r="AB213" i="5"/>
  <c r="AB210" i="5" s="1"/>
  <c r="Z174" i="5"/>
  <c r="AB244" i="5"/>
  <c r="AB233" i="5" s="1"/>
  <c r="AB398" i="5" s="1"/>
  <c r="N43" i="5"/>
  <c r="Z244" i="5"/>
  <c r="H30" i="5"/>
  <c r="H29" i="5" s="1"/>
  <c r="H28" i="5" s="1"/>
  <c r="H9" i="5" s="1"/>
  <c r="Z134" i="5"/>
  <c r="Q89" i="5"/>
  <c r="X89" i="5" s="1"/>
  <c r="Z393" i="5"/>
  <c r="L30" i="5"/>
  <c r="L29" i="5" s="1"/>
  <c r="L28" i="5" s="1"/>
  <c r="L9" i="5" s="1"/>
  <c r="Q301" i="5"/>
  <c r="Q267" i="5"/>
  <c r="U30" i="5"/>
  <c r="U29" i="5" s="1"/>
  <c r="U28" i="5" s="1"/>
  <c r="U9" i="5" s="1"/>
  <c r="I267" i="5"/>
  <c r="U266" i="5"/>
  <c r="X301" i="5"/>
  <c r="AB381" i="5"/>
  <c r="AB380" i="5" s="1"/>
  <c r="AB379" i="5" s="1"/>
  <c r="AB378" i="5" s="1"/>
  <c r="J293" i="5"/>
  <c r="J266" i="5" s="1"/>
  <c r="X46" i="5"/>
  <c r="X40" i="5" s="1"/>
  <c r="Q325" i="5"/>
  <c r="P233" i="5"/>
  <c r="K30" i="5"/>
  <c r="K29" i="5" s="1"/>
  <c r="K28" i="5" s="1"/>
  <c r="K9" i="5" s="1"/>
  <c r="R9" i="5"/>
  <c r="Z239" i="5"/>
  <c r="AA238" i="5"/>
  <c r="AA237" i="5" s="1"/>
  <c r="AA233" i="5" s="1"/>
  <c r="Z213" i="5"/>
  <c r="Z245" i="5"/>
  <c r="Z210" i="5"/>
  <c r="P104" i="5"/>
  <c r="O293" i="5"/>
  <c r="O266" i="5" s="1"/>
  <c r="Z198" i="5"/>
  <c r="Z274" i="5"/>
  <c r="X34" i="5"/>
  <c r="X31" i="5" s="1"/>
  <c r="Q31" i="5"/>
  <c r="O357" i="5"/>
  <c r="O358" i="5"/>
  <c r="Z114" i="5"/>
  <c r="Z10" i="5"/>
  <c r="Z392" i="5"/>
  <c r="Z391" i="5"/>
  <c r="Z31" i="5"/>
  <c r="X214" i="5"/>
  <c r="X213" i="5" s="1"/>
  <c r="X210" i="5" s="1"/>
  <c r="Q213" i="5"/>
  <c r="Q210" i="5" s="1"/>
  <c r="X335" i="5"/>
  <c r="X325" i="5"/>
  <c r="Z373" i="5"/>
  <c r="I46" i="5"/>
  <c r="I40" i="5" s="1"/>
  <c r="I30" i="5" s="1"/>
  <c r="I29" i="5" s="1"/>
  <c r="I28" i="5" s="1"/>
  <c r="I9" i="5" s="1"/>
  <c r="N47" i="5"/>
  <c r="N46" i="5" s="1"/>
  <c r="P30" i="5"/>
  <c r="P29" i="5" s="1"/>
  <c r="P28" i="5" s="1"/>
  <c r="P359" i="5"/>
  <c r="P357" i="5" s="1"/>
  <c r="X357" i="5" s="1"/>
  <c r="P196" i="5"/>
  <c r="X104" i="5"/>
  <c r="Z301" i="5"/>
  <c r="N357" i="5"/>
  <c r="X294" i="5"/>
  <c r="Z360" i="5"/>
  <c r="Q233" i="5"/>
  <c r="N294" i="5"/>
  <c r="Z297" i="5"/>
  <c r="Z268" i="5"/>
  <c r="Z105" i="5"/>
  <c r="Z40" i="5"/>
  <c r="Z336" i="5"/>
  <c r="T30" i="5"/>
  <c r="T29" i="5" s="1"/>
  <c r="T28" i="5" s="1"/>
  <c r="T9" i="5" s="1"/>
  <c r="P293" i="5"/>
  <c r="P266" i="5" s="1"/>
  <c r="H358" i="5"/>
  <c r="H357" i="5"/>
  <c r="AA266" i="5" l="1"/>
  <c r="K398" i="5"/>
  <c r="J398" i="5"/>
  <c r="AB196" i="5"/>
  <c r="AB195" i="5" s="1"/>
  <c r="R398" i="5"/>
  <c r="M398" i="5"/>
  <c r="Q30" i="5"/>
  <c r="Q29" i="5" s="1"/>
  <c r="Q28" i="5" s="1"/>
  <c r="Q9" i="5" s="1"/>
  <c r="AB266" i="5"/>
  <c r="Q293" i="5"/>
  <c r="Q266" i="5" s="1"/>
  <c r="N293" i="5"/>
  <c r="N266" i="5" s="1"/>
  <c r="N40" i="5"/>
  <c r="N30" i="5" s="1"/>
  <c r="N29" i="5" s="1"/>
  <c r="N28" i="5" s="1"/>
  <c r="N9" i="5" s="1"/>
  <c r="N398" i="5" s="1"/>
  <c r="AC28" i="5"/>
  <c r="L398" i="5"/>
  <c r="T398" i="5"/>
  <c r="X359" i="5"/>
  <c r="Z238" i="5"/>
  <c r="S398" i="5"/>
  <c r="Z379" i="5"/>
  <c r="AC266" i="5"/>
  <c r="X293" i="5"/>
  <c r="X266" i="5" s="1"/>
  <c r="AA378" i="5"/>
  <c r="Z233" i="5"/>
  <c r="AB30" i="5"/>
  <c r="AB29" i="5" s="1"/>
  <c r="AB28" i="5" s="1"/>
  <c r="X30" i="5"/>
  <c r="X29" i="5" s="1"/>
  <c r="X28" i="5" s="1"/>
  <c r="X9" i="5" s="1"/>
  <c r="U398" i="5"/>
  <c r="I266" i="5"/>
  <c r="I398" i="5" s="1"/>
  <c r="Z357" i="5"/>
  <c r="AB100" i="5"/>
  <c r="O398" i="5"/>
  <c r="P9" i="5"/>
  <c r="Z237" i="5"/>
  <c r="Z30" i="5"/>
  <c r="Z273" i="5"/>
  <c r="Z335" i="5"/>
  <c r="Z294" i="5"/>
  <c r="Z293" i="5"/>
  <c r="H398" i="5"/>
  <c r="X196" i="5"/>
  <c r="X195" i="5" s="1"/>
  <c r="P195" i="5"/>
  <c r="Z359" i="5"/>
  <c r="Z197" i="5"/>
  <c r="AD406" i="5"/>
  <c r="AB407" i="5" l="1"/>
  <c r="AC402" i="5"/>
  <c r="Z378" i="5"/>
  <c r="AA398" i="5"/>
  <c r="AA402" i="5" s="1"/>
  <c r="Q398" i="5"/>
  <c r="X398" i="5"/>
  <c r="X401" i="5" s="1"/>
  <c r="P398" i="5"/>
  <c r="P402" i="5" s="1"/>
  <c r="Z195" i="5"/>
  <c r="Z196" i="5"/>
  <c r="Z267" i="5"/>
  <c r="Z266" i="5"/>
  <c r="Z29" i="5"/>
  <c r="Z28" i="5" l="1"/>
  <c r="Z104" i="5"/>
  <c r="Z9" i="5" l="1"/>
  <c r="Z398" i="5" l="1"/>
  <c r="C57" i="3" l="1"/>
  <c r="E56" i="3"/>
  <c r="E51" i="3" s="1"/>
  <c r="E58" i="3" s="1"/>
  <c r="D56" i="3"/>
  <c r="D51" i="3" s="1"/>
  <c r="D58" i="3" s="1"/>
  <c r="C56" i="3"/>
  <c r="C51" i="3" s="1"/>
  <c r="C58" i="3" s="1"/>
  <c r="C55" i="3"/>
  <c r="C54" i="3"/>
  <c r="E53" i="3"/>
  <c r="E52" i="3" s="1"/>
  <c r="D53" i="3"/>
  <c r="C53" i="3" s="1"/>
  <c r="E44" i="3"/>
  <c r="D44" i="3"/>
  <c r="C44" i="3" s="1"/>
  <c r="C43" i="3"/>
  <c r="E42" i="3"/>
  <c r="D42" i="3"/>
  <c r="C42" i="3" s="1"/>
  <c r="C41" i="3"/>
  <c r="C38" i="3"/>
  <c r="C37" i="3"/>
  <c r="E36" i="3"/>
  <c r="C36" i="3" s="1"/>
  <c r="D36" i="3"/>
  <c r="C35" i="3"/>
  <c r="E34" i="3"/>
  <c r="C34" i="3" s="1"/>
  <c r="D34" i="3"/>
  <c r="C33" i="3"/>
  <c r="E32" i="3"/>
  <c r="C32" i="3" s="1"/>
  <c r="D32" i="3"/>
  <c r="C31" i="3"/>
  <c r="E30" i="3"/>
  <c r="C30" i="3" s="1"/>
  <c r="D30" i="3"/>
  <c r="C29" i="3"/>
  <c r="E28" i="3"/>
  <c r="C28" i="3" s="1"/>
  <c r="D28" i="3"/>
  <c r="C27" i="3"/>
  <c r="C26" i="3"/>
  <c r="C25" i="3"/>
  <c r="C24" i="3"/>
  <c r="E23" i="3"/>
  <c r="D23" i="3"/>
  <c r="C23" i="3" s="1"/>
  <c r="C20" i="3"/>
  <c r="G19" i="3"/>
  <c r="C19" i="3"/>
  <c r="C18" i="3"/>
  <c r="C17" i="3"/>
  <c r="E16" i="3"/>
  <c r="D16" i="3"/>
  <c r="C16" i="3"/>
  <c r="E46" i="3" l="1"/>
  <c r="D52" i="3"/>
  <c r="C52" i="3" s="1"/>
  <c r="D46" i="3" l="1"/>
  <c r="C46" i="3" s="1"/>
  <c r="C96" i="1" l="1"/>
  <c r="D96" i="1"/>
  <c r="F96" i="1"/>
  <c r="D52" i="1"/>
  <c r="F52" i="1"/>
  <c r="C10" i="1"/>
  <c r="D10" i="1"/>
  <c r="F10" i="1"/>
  <c r="D57" i="1"/>
  <c r="G26" i="1" l="1"/>
  <c r="G27" i="1"/>
  <c r="E31" i="1"/>
  <c r="G31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E27" i="1"/>
  <c r="E28" i="1"/>
  <c r="G28" i="1" s="1"/>
  <c r="E29" i="1"/>
  <c r="G29" i="1" s="1"/>
  <c r="E19" i="1"/>
  <c r="G19" i="1" s="1"/>
  <c r="E51" i="1" l="1"/>
  <c r="G51" i="1" s="1"/>
  <c r="E55" i="1"/>
  <c r="E56" i="1"/>
  <c r="G56" i="1" s="1"/>
  <c r="E57" i="1"/>
  <c r="E59" i="1"/>
  <c r="G59" i="1" s="1"/>
  <c r="E61" i="1"/>
  <c r="G61" i="1" s="1"/>
  <c r="E63" i="1"/>
  <c r="G63" i="1" s="1"/>
  <c r="E64" i="1"/>
  <c r="G64" i="1" s="1"/>
  <c r="E65" i="1"/>
  <c r="G65" i="1" s="1"/>
  <c r="E67" i="1"/>
  <c r="G67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E85" i="1"/>
  <c r="G85" i="1" s="1"/>
  <c r="E86" i="1"/>
  <c r="G86" i="1" s="1"/>
  <c r="E87" i="1"/>
  <c r="G87" i="1" s="1"/>
  <c r="E88" i="1"/>
  <c r="G88" i="1" s="1"/>
  <c r="E89" i="1"/>
  <c r="G89" i="1" s="1"/>
  <c r="E90" i="1"/>
  <c r="G90" i="1" s="1"/>
  <c r="E91" i="1"/>
  <c r="G91" i="1" s="1"/>
  <c r="E92" i="1"/>
  <c r="G92" i="1" s="1"/>
  <c r="E94" i="1"/>
  <c r="G94" i="1" s="1"/>
  <c r="E95" i="1"/>
  <c r="G95" i="1" s="1"/>
  <c r="G55" i="1" l="1"/>
  <c r="G57" i="1"/>
  <c r="E13" i="1"/>
  <c r="E14" i="1"/>
  <c r="G14" i="1" s="1"/>
  <c r="E15" i="1"/>
  <c r="G15" i="1" s="1"/>
  <c r="E16" i="1"/>
  <c r="G16" i="1" s="1"/>
  <c r="E18" i="1"/>
  <c r="G18" i="1" s="1"/>
  <c r="E33" i="1"/>
  <c r="G33" i="1" s="1"/>
  <c r="E34" i="1"/>
  <c r="G34" i="1" s="1"/>
  <c r="E35" i="1"/>
  <c r="G35" i="1" s="1"/>
  <c r="E37" i="1"/>
  <c r="G37" i="1" s="1"/>
  <c r="E38" i="1"/>
  <c r="G38" i="1" s="1"/>
  <c r="E41" i="1"/>
  <c r="G41" i="1" s="1"/>
  <c r="E42" i="1"/>
  <c r="G42" i="1" s="1"/>
  <c r="E43" i="1"/>
  <c r="G43" i="1" s="1"/>
  <c r="E45" i="1"/>
  <c r="G45" i="1" s="1"/>
  <c r="E46" i="1"/>
  <c r="G46" i="1" s="1"/>
  <c r="E47" i="1"/>
  <c r="G47" i="1" s="1"/>
  <c r="E49" i="1"/>
  <c r="G49" i="1" s="1"/>
  <c r="E10" i="1" l="1"/>
  <c r="G13" i="1"/>
  <c r="G10" i="1" s="1"/>
  <c r="C58" i="1"/>
  <c r="E58" i="1" l="1"/>
  <c r="E52" i="1" s="1"/>
  <c r="E96" i="1" s="1"/>
  <c r="C52" i="1"/>
  <c r="G58" i="1" l="1"/>
  <c r="G52" i="1" s="1"/>
  <c r="G96" i="1" s="1"/>
  <c r="C50" i="1" l="1"/>
  <c r="E50" i="1" l="1"/>
  <c r="G50" i="1" s="1"/>
  <c r="E100" i="1" l="1"/>
</calcChain>
</file>

<file path=xl/sharedStrings.xml><?xml version="1.0" encoding="utf-8"?>
<sst xmlns="http://schemas.openxmlformats.org/spreadsheetml/2006/main" count="3966" uniqueCount="1127">
  <si>
    <t/>
  </si>
  <si>
    <t>рубли</t>
  </si>
  <si>
    <t>КБК</t>
  </si>
  <si>
    <t>Наименование</t>
  </si>
  <si>
    <t>НАЛОГОВЫЕ И НЕНАЛОГОВЫЕ ДОХОДЫ</t>
  </si>
  <si>
    <t>000 1 01 00000 00 0000 000</t>
  </si>
  <si>
    <t>НАЛОГИ НА ПРИБЫЛЬ, 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</si>
  <si>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</si>
  <si>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</si>
  <si>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</si>
  <si>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</si>
  <si>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</si>
  <si>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</si>
  <si>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</si>
  <si>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</si>
  <si>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</si>
  <si>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</si>
  <si>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</si>
  <si>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</si>
  <si>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</si>
  <si>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</si>
  <si>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</si>
  <si>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</si>
  <si>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Единый сельскохозяйственный налог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</si>
  <si>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</si>
  <si>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</si>
  <si>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</si>
  <si>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</si>
  <si>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</si>
  <si>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000 1 08 00000 00 0000 000</t>
  </si>
  <si>
    <t>ГОСУДАРСТВЕННАЯ ПОШЛИНА</t>
  </si>
  <si>
    <t>804 1 08 04020 01 0000 110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</si>
  <si>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</si>
  <si>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</si>
  <si>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</si>
  <si>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</si>
  <si>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804 1 11 05013 13 0000 120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</si>
  <si>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</si>
  <si>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</si>
  <si>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</si>
  <si>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поселений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</si>
  <si>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</si>
  <si>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</si>
  <si>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</si>
  <si>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</si>
  <si>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</si>
  <si>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</si>
  <si>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</si>
  <si>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ВСЕГО ДОХОДОВ</t>
  </si>
  <si>
    <t>804 1 11 09045 13 0000 120</t>
  </si>
  <si>
    <t>182 1 06 06043 13 0000 110</t>
  </si>
  <si>
    <t>182 1 06 06033 13 0000 110</t>
  </si>
  <si>
    <t>804 1 13 01995 13 0000 130</t>
  </si>
  <si>
    <t>182 1 06 01030 13 0000 110</t>
  </si>
  <si>
    <t>Дотации бюджетам городских поселений на на поддержку мер по обеспечению сбалансированности бюджетов</t>
  </si>
  <si>
    <t>804 1 13 02065 13 0000 130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</si>
  <si>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</si>
  <si>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804 1 14 02053 13 0000 410</t>
  </si>
  <si>
    <t>ДОХОДЫ ОТ РЕАЛИЗАЦИИ ИМУЩЕСТВА, НАХОДЯЩЕГОСЯ В СОБСТВЕННОСТИ ПОСЕЛЕНИЙ</t>
  </si>
  <si>
    <t>000 1 14 00000 00 0000 000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</si>
  <si>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</si>
  <si>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804 1 13 02995 13 0000 130</t>
  </si>
  <si>
    <t>Прочие доходы от компенсации затрат бюджетов городских поселений</t>
  </si>
  <si>
    <t>182 1 05 03010 01 0000 110</t>
  </si>
  <si>
    <t xml:space="preserve">ПРОЧИЕ НЕНАЛОГОВЫЕ ДОХОДЫ </t>
  </si>
  <si>
    <t>Прочие неналоговые доходы бюджетов городских поселений</t>
  </si>
  <si>
    <t>000 1 17 00000 00 0000 000</t>
  </si>
  <si>
    <t>804 1 17 05050 13 0000 180</t>
  </si>
  <si>
    <t>000 2 02 10000 00 0000 150</t>
  </si>
  <si>
    <t>804 2 02 15001 13 0000 150</t>
  </si>
  <si>
    <t>000 2 02 30000 00 0000 150</t>
  </si>
  <si>
    <t>804 2 02 35930 13 0000 150</t>
  </si>
  <si>
    <t>804 2 02 35118 13 0000 150</t>
  </si>
  <si>
    <t>000 2 02 40000 00 0000 150</t>
  </si>
  <si>
    <t>804 2 02 15002 13 0000 150</t>
  </si>
  <si>
    <t>100 1 03 02231 01 0000 110</t>
  </si>
  <si>
    <t>100 1 03 02241 01 0000 110</t>
  </si>
  <si>
    <t>100 1 03 02251 01 0000 110</t>
  </si>
  <si>
    <t>100 1 03 02261 01 0000 110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</si>
  <si>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</si>
  <si>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</si>
  <si>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</si>
  <si>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</si>
  <si>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Сумма на 2023 год</t>
  </si>
  <si>
    <t>804 1 08 07175 01 1000 110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</si>
  <si>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 тяжеловесных и (или) крупногабаритных грузов, зачисляемая в бюджеты поселений</t>
  </si>
  <si>
    <t>Доходы от сдачи в аренду имущества, составляющего казну городских поселений (за исключением земельных участков)</t>
  </si>
  <si>
    <t>804 1 11 05075 13 0000 120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</si>
  <si>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дополнительную компенсацию расходов по оплате проезда в отпуск работникам учреждений культуры)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</si>
  <si>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возмещение расходов в части коммунальных услуг по содержанию нежилого помещения "Баня")</t>
  </si>
  <si>
    <t>Объем доходов бюджета МО "Поселок Чернышевский" Мирнинского района Республики Саха (Якутия) на 2023 год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</si>
  <si>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</si>
  <si>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</si>
  <si>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Доходы, получаемые в виде арендной платы за земельные участки, госсобственность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</si>
  <si>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выполнение работ по техническому содержанию уличного освещения МО «Поселок Чернышевский»)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</si>
  <si>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содержание автомобильных дорог общего пользования местного значения)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</si>
  <si>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проведение капитального ремонта здания спортивного комплекса с плавательным бассейном МБУ ФОК «Каскад» п.Чернышевский)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</si>
  <si>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дополнительную компенсацию расходов по оплате проезда в отпуск работникам учреждений физической культуры и спорта 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</si>
  <si>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приобретение жилых помещений для переселения граждан из аварийного муниципального жилищного фонда (ПД и ПДУ))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</si>
  <si>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пассажирского автобуса ПАЗ-4234)</t>
  </si>
  <si>
    <t>расходы</t>
  </si>
  <si>
    <t>план (доходы изменения) № 48 от 25.05.23</t>
  </si>
  <si>
    <t>804 2 02 49999 13 0000 150</t>
  </si>
  <si>
    <t>Иные межбюджетные трансферты - Грант Главы РС (Я) на софинансирование, в том числе в полном объеме, программ (подпрограмм, мероприятий) по поддержке на конкурсной основе территориальных общественных самоуправлений</t>
  </si>
  <si>
    <t>804 2 02 49999 13 6512 150</t>
  </si>
  <si>
    <t>Налоговые Администратор ФК, ФНС,АМО "Пос. Чернышевский"</t>
  </si>
  <si>
    <t>Уточнение (+;-)</t>
  </si>
  <si>
    <t>182 1 03 02231 01 0000 110</t>
  </si>
  <si>
    <t>182 1 03 02240 01 0000 110</t>
  </si>
  <si>
    <t>182 1 03 02241 01 0000 110</t>
  </si>
  <si>
    <t>182 1 03 02250 01 0000 110</t>
  </si>
  <si>
    <t>Дотация на поддержку мер по обеспечению сбалансированности бюджетов на повышение заработной платы целевых категорий работников бюджетной сферы</t>
  </si>
  <si>
    <t>Субсидии на софинансирование муниципальных программ по созданию доступной среды жизнедеятельности для инвалидов и других маломобильных групп населения</t>
  </si>
  <si>
    <t xml:space="preserve">Субсидии бюджетам бюджетной системы Российской Федерации </t>
  </si>
  <si>
    <t>000 2 02 20000 13 0000 150</t>
  </si>
  <si>
    <t>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</si>
  <si>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804 2 02 36900 13 6900 150</t>
  </si>
  <si>
    <t>Иные межбюджетные трансферты из бюджета РС (Я)</t>
  </si>
  <si>
    <t>Межбюджетные трансферты, передаваемые избюджета МО "Мирнинский район"</t>
  </si>
  <si>
    <t>Иные межбюджетные трансферты на создание досугового центра для пенсионеров в п. Чернышевский Мирнинского района Республики Саха (Якутия)</t>
  </si>
  <si>
    <t>Иные межбюджетные трансферты на выполнение работ по восстановлению уличного освещения в кв. ВНИМС и кв. Монтажников на территории МО "Поселок Чернышевский"</t>
  </si>
  <si>
    <t>Иные межбюджетные трансферты на выполнение работ по ремонту дороги местного значения на территории МО "Поселок Чернышевский"</t>
  </si>
  <si>
    <t>Иные межбюджетные трансферты на изготовление технических паспортов автомобильных дорог на территории МО "Поселок Чернышевский"</t>
  </si>
  <si>
    <t xml:space="preserve">Иные межбюджетные трансферты на расширение муниципальной автоматизированной системы оповещения населения </t>
  </si>
  <si>
    <t>Иные межбюджетные трансферты на обустройство минерализованных полос на территории МО "Поселок Чернышевский"</t>
  </si>
  <si>
    <t>Иные межбюджетные трансферты на приобретение пожарных гидрантов надземной конструкции с изготовлением и покраской коробов к ним, приобретение светоотражающих знаков для установки в некоторых кварталах, расположенных на территории МО "Поселок Чернышевский" Мирнинского района</t>
  </si>
  <si>
    <t>Иные межбюджетные трансферты на приобретение дымовых извещателей пожарных ДИП GSM (ИП 212-63А-GSM) для установки в жилищном фонде на территории МО "Поселок Чернышевский"</t>
  </si>
  <si>
    <t>Иные межбюджетные трансферты на проведение работ по ликвидации мест несанкционированных свалок крупногабаритных отходов, расположенных на территории МО "Поселок Чернышевский"</t>
  </si>
  <si>
    <t>Иные межбюджетные трансферты на проведение работ по ликвидации мест несанкционированного размещения отходов металлолома, в т.ч. автокузовов, расположенных на территории МО "Поселок Чернышевский"</t>
  </si>
  <si>
    <t>Иные межбюджетные трансферты на организацию занятости студентов в летний период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</si>
  <si>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 </t>
  </si>
  <si>
    <t>Иные межбюджетные трансферты на софинансирование муниципальных программ по созданию доступной среды жизнедеятельности для инвалидов и других маломобильных групп населения</t>
  </si>
  <si>
    <t>804 2 02 29999 13 6256 150</t>
  </si>
  <si>
    <t>ВОЗВРАТ ОСТАТКОВ СУБСИДИЙ, СУБВЕНЦИЙ И ИНЫХ МЕЖБЮДЖЕТНЫХ ТРАНСФЕРТОВ, ИМЕЮЩИХ ЦЕЛЕВОЕ НАЗНАЧЕНИЕ, ПРОШЛЫХ ЛЕТ</t>
  </si>
  <si>
    <t>000 2 19 00000 05 0000 150</t>
  </si>
  <si>
    <t>804 2 19 60010 13 0000 150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</si>
  <si>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выполнение работ по разработке проектно-сметной документации «Устройство паркового освещения на пешеходной дорожке между ул. Космонавтов и ул. Гидростроителей на территории МО «Поселок Чернышевский»)</t>
  </si>
  <si>
    <t>Дотация на поддержку мер по обеспечению сбалансированности местных бюджетов (на обеспечение минимального размера оплаты труда с 1 января 2023 года работникам учреждений физкультуры и спорта )</t>
  </si>
  <si>
    <t xml:space="preserve">Сумма с уточнением от 30.06.23 г.на 2023 год </t>
  </si>
  <si>
    <t xml:space="preserve">Сумма с уточнением от 24.11.23 г.на 2023 год </t>
  </si>
  <si>
    <t>Приложение № 4</t>
  </si>
  <si>
    <t>к Решению сессии ЧПСД</t>
  </si>
  <si>
    <t>Распределение бюджетных ассигнований по разделам, подразделам, целевым статьям, группам видов расходов классификации расходов бюджета МО "Посёлок Чернышевский" Мирнинского района Республики Саха (Якутия) 
на 2023 год</t>
  </si>
  <si>
    <t>Наименование разделов, подразделов</t>
  </si>
  <si>
    <t>Вед</t>
  </si>
  <si>
    <t>КФСР</t>
  </si>
  <si>
    <t>КЦСР</t>
  </si>
  <si>
    <t>КВР</t>
  </si>
  <si>
    <t>КЭС</t>
  </si>
  <si>
    <t>Доп. ЭК</t>
  </si>
  <si>
    <t>Бюджет 2016 год</t>
  </si>
  <si>
    <t>Сумма уточнения, в том числе:</t>
  </si>
  <si>
    <t>За счет передвижек</t>
  </si>
  <si>
    <t>За счет РБ</t>
  </si>
  <si>
    <t>За счет МБТ</t>
  </si>
  <si>
    <t>За счет дополнительных собственных доходов</t>
  </si>
  <si>
    <t>Бюджет 2014 год с уточнением</t>
  </si>
  <si>
    <t>Бюджет 2016 год (оптимизация на 20%)</t>
  </si>
  <si>
    <t xml:space="preserve">Утвержденный бюджет на 2023 год </t>
  </si>
  <si>
    <t>За счет изменения типа учреждения</t>
  </si>
  <si>
    <t>За счет  РБ</t>
  </si>
  <si>
    <t>За счет ФБ</t>
  </si>
  <si>
    <t>Бюджет 2020 год</t>
  </si>
  <si>
    <t>Примечание</t>
  </si>
  <si>
    <t>Уточнение 
(+;-)</t>
  </si>
  <si>
    <t>ОБЩЕГОСУДАРСТВЕННЫЕ ВОПРОСЫ (непрограммный метод)</t>
  </si>
  <si>
    <t>0100</t>
  </si>
  <si>
    <t>00 0 00 0000 0</t>
  </si>
  <si>
    <t>000</t>
  </si>
  <si>
    <t>Функционирование высшего должностного лица субъекта РФ и муниципального образования</t>
  </si>
  <si>
    <t>0102</t>
  </si>
  <si>
    <t>99 1 00 1160 0</t>
  </si>
  <si>
    <t>120</t>
  </si>
  <si>
    <t>Оплата труда и начисления на оплату труда</t>
  </si>
  <si>
    <t>210</t>
  </si>
  <si>
    <t>Заработная плата</t>
  </si>
  <si>
    <t>121</t>
  </si>
  <si>
    <t>211</t>
  </si>
  <si>
    <t>Начисления на оплату труда</t>
  </si>
  <si>
    <t>129</t>
  </si>
  <si>
    <t>213</t>
  </si>
  <si>
    <t>Социальные пособия и компенсации персоналу в денежной форме</t>
  </si>
  <si>
    <t>266</t>
  </si>
  <si>
    <t>Прочие несоциальные выплаты персоналу в денежной форме</t>
  </si>
  <si>
    <t>122</t>
  </si>
  <si>
    <t>212</t>
  </si>
  <si>
    <t>Расходы при служебных командировках</t>
  </si>
  <si>
    <t>226</t>
  </si>
  <si>
    <t>1104</t>
  </si>
  <si>
    <t>Выплаты работодателями, нанимателями бывшим работникам</t>
  </si>
  <si>
    <t>321</t>
  </si>
  <si>
    <t>264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</si>
  <si>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 (непрограммный метод)</t>
  </si>
  <si>
    <t>0103</t>
  </si>
  <si>
    <t>Поступление нефинансовых активов</t>
  </si>
  <si>
    <t>99 1 00 1141 0</t>
  </si>
  <si>
    <t>244</t>
  </si>
  <si>
    <t>300</t>
  </si>
  <si>
    <t>Увеличение стоимости основных средств</t>
  </si>
  <si>
    <t>310</t>
  </si>
  <si>
    <t xml:space="preserve">Приобретение оборудования и предметов длительного пользования (в части предметов со сроком полезного использования более 12 месяцев) </t>
  </si>
  <si>
    <t>1116</t>
  </si>
  <si>
    <t>Увеличение стоимости материальных запасов</t>
  </si>
  <si>
    <t>340</t>
  </si>
  <si>
    <t xml:space="preserve">Продукты питания </t>
  </si>
  <si>
    <t>1120</t>
  </si>
  <si>
    <t xml:space="preserve">Прочие расходные материалы и предметы снабжения (в части расходных материалов) </t>
  </si>
  <si>
    <t>242</t>
  </si>
  <si>
    <t>346</t>
  </si>
  <si>
    <t>1 полугодие</t>
  </si>
  <si>
    <t xml:space="preserve">Прочие расходные материалы и предметы снабжения (продукты питания) </t>
  </si>
  <si>
    <t>Приобретение наградной продукции</t>
  </si>
  <si>
    <t>349</t>
  </si>
  <si>
    <t>1148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</si>
  <si>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</si>
  <si>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0104</t>
  </si>
  <si>
    <t>Руководство и управление в сфере установленных функций</t>
  </si>
  <si>
    <t>Центральный аппарат</t>
  </si>
  <si>
    <t>Командировки и служебные разъезды ( суточные)</t>
  </si>
  <si>
    <t>112</t>
  </si>
  <si>
    <t>Проезд в отпуск</t>
  </si>
  <si>
    <t>214</t>
  </si>
  <si>
    <t>1101</t>
  </si>
  <si>
    <t>Приобретение услуг</t>
  </si>
  <si>
    <t>220</t>
  </si>
  <si>
    <t>Услуги связи</t>
  </si>
  <si>
    <t>221</t>
  </si>
  <si>
    <t>1 квартал</t>
  </si>
  <si>
    <t>Транспортные услуги</t>
  </si>
  <si>
    <t>222</t>
  </si>
  <si>
    <t>Командировки и служебные разъезды</t>
  </si>
  <si>
    <t>1125</t>
  </si>
  <si>
    <t>Коммунальные услуги</t>
  </si>
  <si>
    <t>240</t>
  </si>
  <si>
    <t>223</t>
  </si>
  <si>
    <t>Оплата отопления</t>
  </si>
  <si>
    <t>247</t>
  </si>
  <si>
    <t>11072</t>
  </si>
  <si>
    <t xml:space="preserve">Оплата потребления электрической энергии </t>
  </si>
  <si>
    <t xml:space="preserve"> 1109</t>
  </si>
  <si>
    <t>Оплата услуг горячего и холодного водоснабжения</t>
  </si>
  <si>
    <t xml:space="preserve"> 1110</t>
  </si>
  <si>
    <t>Оплата услуг канализации, водоотведения</t>
  </si>
  <si>
    <t>1126</t>
  </si>
  <si>
    <t>1110</t>
  </si>
  <si>
    <t>Услуги по содержанию имущества</t>
  </si>
  <si>
    <t>225</t>
  </si>
  <si>
    <t>Текущий и капитальный ремонт</t>
  </si>
  <si>
    <t>1105</t>
  </si>
  <si>
    <t>Противопожарные мероприятия</t>
  </si>
  <si>
    <t>1106</t>
  </si>
  <si>
    <t>Оплата содержания помещений</t>
  </si>
  <si>
    <t>1111</t>
  </si>
  <si>
    <t>Другие расходы по содержанию имущества (тех.обсл.ПК)</t>
  </si>
  <si>
    <t>Установка Двери запасного выхода в здании админитстрации</t>
  </si>
  <si>
    <t>Прочие услуги</t>
  </si>
  <si>
    <t>Командировки и служебные разъезды (оплата проживания на время нахождения в служебной командировке)</t>
  </si>
  <si>
    <t>Услуги в области информационных технологий</t>
  </si>
  <si>
    <t>Услуги по страхованию</t>
  </si>
  <si>
    <t>1135</t>
  </si>
  <si>
    <t>Командировочные расходы (проезд)</t>
  </si>
  <si>
    <t>Командировки и служебные разъезды (проезд,проживание)</t>
  </si>
  <si>
    <t>Плата за обучение на курсах повышения квалификации</t>
  </si>
  <si>
    <t>1139</t>
  </si>
  <si>
    <t>Плата за подписку на периодические издания</t>
  </si>
  <si>
    <t>1137</t>
  </si>
  <si>
    <t>1136</t>
  </si>
  <si>
    <t>Объявление в СМИ</t>
  </si>
  <si>
    <t>1140</t>
  </si>
  <si>
    <t>Социальное обеспечение</t>
  </si>
  <si>
    <t>65 5 00 7029 0</t>
  </si>
  <si>
    <t>260</t>
  </si>
  <si>
    <t>Пенсии, пособия выплачиваемые организациями сектора гос.управления</t>
  </si>
  <si>
    <t>263</t>
  </si>
  <si>
    <t>Информационные услуги</t>
  </si>
  <si>
    <t>Прочие расходы</t>
  </si>
  <si>
    <t>290</t>
  </si>
  <si>
    <t>Уплата налогов и сборов (налог на имущество)</t>
  </si>
  <si>
    <t>851</t>
  </si>
  <si>
    <t>1143</t>
  </si>
  <si>
    <t>Уплата налогов и сборов (транспортный налог)</t>
  </si>
  <si>
    <t>852</t>
  </si>
  <si>
    <t>1144</t>
  </si>
  <si>
    <t>Членский взнос для членов Совета муниципальных образований</t>
  </si>
  <si>
    <t>853</t>
  </si>
  <si>
    <t>297</t>
  </si>
  <si>
    <t>Уплата штрафов, пеней и несвоевременную уплату налогов</t>
  </si>
  <si>
    <t>1150</t>
  </si>
  <si>
    <t>Приобретение оборудования и предметов длительного пользования (в части предметов со сроком полезного использования более 12 месяцев)</t>
  </si>
  <si>
    <t>804</t>
  </si>
  <si>
    <t xml:space="preserve">Оплата горюче-смазочных материалов </t>
  </si>
  <si>
    <t>1121</t>
  </si>
  <si>
    <t xml:space="preserve">Прочие расходные материалы и предметы снабжения </t>
  </si>
  <si>
    <t>Обеспечение проведения выборов и референдумов</t>
  </si>
  <si>
    <t>0107</t>
  </si>
  <si>
    <t>99 3 00 1003 0</t>
  </si>
  <si>
    <t>2 квар.</t>
  </si>
  <si>
    <t>880</t>
  </si>
  <si>
    <t>3 квар.</t>
  </si>
  <si>
    <t>4 квар.</t>
  </si>
  <si>
    <t>5 квар.</t>
  </si>
  <si>
    <t xml:space="preserve">Транспортные услуги (за исключением расходов на обязательное страхование гражд.ответ.влад.трансп.средств) </t>
  </si>
  <si>
    <t>6 квар.</t>
  </si>
  <si>
    <t>7 квар.</t>
  </si>
  <si>
    <t>8 квар.</t>
  </si>
  <si>
    <t>9 квар.</t>
  </si>
  <si>
    <t>Приобретение продуктов питания (представительские расходы)</t>
  </si>
  <si>
    <t>10 квар.</t>
  </si>
  <si>
    <t>1123</t>
  </si>
  <si>
    <t>11 квар.</t>
  </si>
  <si>
    <t>12 квар.</t>
  </si>
  <si>
    <t>99 0 00 0000 0</t>
  </si>
  <si>
    <t>13 квар.</t>
  </si>
  <si>
    <t>Проведение выборов и референдумов глав</t>
  </si>
  <si>
    <t>99 3 00 1002 0</t>
  </si>
  <si>
    <t>14 квар.</t>
  </si>
  <si>
    <t>Резервные фонды органов местного самоуправления</t>
  </si>
  <si>
    <t>0111</t>
  </si>
  <si>
    <t xml:space="preserve">Резервный фонд Администрации </t>
  </si>
  <si>
    <t>99 5 00 7110 0</t>
  </si>
  <si>
    <t>870</t>
  </si>
  <si>
    <t>200</t>
  </si>
  <si>
    <t>Другие общегосударственные вопросы</t>
  </si>
  <si>
    <t>0113</t>
  </si>
  <si>
    <t>99 5 00 9100 2</t>
  </si>
  <si>
    <t>КОЦ возмещение</t>
  </si>
  <si>
    <t>Оплата отопления (муниципальный пустующий жилфонд)</t>
  </si>
  <si>
    <t>1109</t>
  </si>
  <si>
    <t>Оплата потребления электрической энергии (муниципальный пустующий жилфонд)</t>
  </si>
  <si>
    <t>Оплата услуг горячего водоснабжения</t>
  </si>
  <si>
    <t>Оплата услуг холодного водоснабжения</t>
  </si>
  <si>
    <t>Обращение с твердыми коммунальными отходами</t>
  </si>
  <si>
    <t>1127</t>
  </si>
  <si>
    <t>ДШИ</t>
  </si>
  <si>
    <t>ЦДОД</t>
  </si>
  <si>
    <t>Коммунальные услуги (ТЦ)</t>
  </si>
  <si>
    <t>224</t>
  </si>
  <si>
    <t xml:space="preserve">Обращение с твердыми коммунальными отходами (здание Администрации МО) </t>
  </si>
  <si>
    <r>
      <rPr>
        <sz val="10"/>
        <rFont val="Arial Cyr"/>
        <charset val="204"/>
      </rPr>
      <t xml:space="preserve">Оплата отопления </t>
    </r>
    <r>
      <rPr>
        <b/>
        <i/>
        <sz val="10"/>
        <rFont val="Arial Cyr"/>
        <charset val="204"/>
      </rPr>
      <t>(нежилые помещения)</t>
    </r>
  </si>
  <si>
    <r>
      <rPr>
        <sz val="10"/>
        <rFont val="Arial Cyr"/>
        <charset val="204"/>
      </rPr>
      <t xml:space="preserve">Коммунальные услуги </t>
    </r>
    <r>
      <rPr>
        <b/>
        <i/>
        <sz val="10"/>
        <rFont val="Arial Cyr"/>
        <charset val="204"/>
      </rPr>
      <t>(муниципальный пустующий жилфонд)</t>
    </r>
  </si>
  <si>
    <t>0000</t>
  </si>
  <si>
    <r>
      <t xml:space="preserve">Техническое обслуживание сетей ТВК </t>
    </r>
    <r>
      <rPr>
        <b/>
        <i/>
        <sz val="10"/>
        <rFont val="Arial Cyr"/>
        <charset val="204"/>
      </rPr>
      <t>(муниципальный пустующий жилфонд)</t>
    </r>
  </si>
  <si>
    <t>1129</t>
  </si>
  <si>
    <t>Другие расходы по содержанию имущества (сети ТВК, электротехнические системы) (здание Администрации, Рынок)</t>
  </si>
  <si>
    <t>Оказание услуг по техническому обслуживанию средств охраны (здание администрации)</t>
  </si>
  <si>
    <t>Выполнение работ по утеплению стен ПДУ муниципальной собственности)</t>
  </si>
  <si>
    <t>Выполнение работ по текущему ремонту помещения для совета пенсионеров (муниципальная собственность)</t>
  </si>
  <si>
    <t>Техническое обслуживание сетей ТВК (возмещение затрат)</t>
  </si>
  <si>
    <t>Дом культуры</t>
  </si>
  <si>
    <t>Оказание услуг по техническому обслуживанию средств охраны (возмещение затрат)</t>
  </si>
  <si>
    <t>Оказание услуг по техническому обслуживанию приборов учета тепловой энергии (возмещение затрат)</t>
  </si>
  <si>
    <t>Обеспечение сохранность хозяйственного инвентаря, его восстановления и пополнение, обеспечение работников канцелярскими принадлежностями и предметами хозяйственного обихода</t>
  </si>
  <si>
    <t>Охрана объектов с помощью пульта централизованного наблюдения</t>
  </si>
  <si>
    <t>1134</t>
  </si>
  <si>
    <t>Иные работы и услуги</t>
  </si>
  <si>
    <t>Иные работы и услуги (оценка имущества)</t>
  </si>
  <si>
    <t>Уплата налога за негативное воздействие на окружающую среду, налог на имущество</t>
  </si>
  <si>
    <t>291</t>
  </si>
  <si>
    <t>9950091002</t>
  </si>
  <si>
    <t>Приобретение оборудования и предметов длительного пользования</t>
  </si>
  <si>
    <t>Другие экономические санкции</t>
  </si>
  <si>
    <t>9950091017</t>
  </si>
  <si>
    <t>831</t>
  </si>
  <si>
    <t>295</t>
  </si>
  <si>
    <t>Приобретение ГСМ</t>
  </si>
  <si>
    <t>343</t>
  </si>
  <si>
    <t>Прочие расходные материалы и предметы снабжения (хоз.нужды)</t>
  </si>
  <si>
    <t>Прочие расходные материалы (приобретение тактильной таблички и кнопки вызова (Предписание Прокуратуры)</t>
  </si>
  <si>
    <t>Прочие расходные материалы (приобретение табличек для установки на детских игровых площадках)</t>
  </si>
  <si>
    <t>Прочие расходные материалы (приобретение краски для окрашивания металличекого перильного орграждения и скамеек, приобретение семян и рассады)</t>
  </si>
  <si>
    <t>9950091019</t>
  </si>
  <si>
    <t>Непрограммные расходы</t>
  </si>
  <si>
    <t>Безвозмездные перечисления организациям</t>
  </si>
  <si>
    <t>800</t>
  </si>
  <si>
    <t>Безвозмездные и безвозвратные перечисления  организациям, за исключением государственных и муниципальных организаций</t>
  </si>
  <si>
    <t>811</t>
  </si>
  <si>
    <t>24А</t>
  </si>
  <si>
    <r>
      <t xml:space="preserve">На возмещение расходов в части коммунальных услуг по содержанию нежилого помещения Баня (остатки 2022) </t>
    </r>
    <r>
      <rPr>
        <b/>
        <sz val="10"/>
        <rFont val="Arial Cyr"/>
        <charset val="204"/>
      </rPr>
      <t>МБТ</t>
    </r>
  </si>
  <si>
    <t>9000</t>
  </si>
  <si>
    <r>
      <t xml:space="preserve">Безвозмездные и безвозвратные перечисления  организациям, за исключением государственных и муниципальных организаций (на возмещение расходов в части коммунальных услуг по содержанию нежилого помещения "Баня")  </t>
    </r>
    <r>
      <rPr>
        <b/>
        <sz val="10"/>
        <rFont val="Arial Cyr"/>
        <charset val="204"/>
      </rPr>
      <t>(МБТ)</t>
    </r>
  </si>
  <si>
    <t>99 5 00 9101 7</t>
  </si>
  <si>
    <t>Уплата госпошлины</t>
  </si>
  <si>
    <t>1145</t>
  </si>
  <si>
    <t>Уплата пени</t>
  </si>
  <si>
    <t>Уплата пеней по решению суда</t>
  </si>
  <si>
    <t>292</t>
  </si>
  <si>
    <t>Расходы на исполнение судебных решений о взыскании из бюджета по искам юридических и физических лиц (основной долг)</t>
  </si>
  <si>
    <t>1147</t>
  </si>
  <si>
    <t>Расходы на исполнение судебных решений о взыскании из бюджета по искам юридических и физических лиц (госпошлина)</t>
  </si>
  <si>
    <t>Расходы на исполнение судебных решений о взыскании из бюджета по искам юридических и физических лиц (пени)</t>
  </si>
  <si>
    <t>Штрафные санкции</t>
  </si>
  <si>
    <t>296</t>
  </si>
  <si>
    <t>99 5 00 9101 9</t>
  </si>
  <si>
    <t>1149</t>
  </si>
  <si>
    <t>Иные работы и услуги (нотариальные действия)</t>
  </si>
  <si>
    <t>Прочие услуги (представительские расходы)</t>
  </si>
  <si>
    <t>Прочие расходы (представительские расходы)</t>
  </si>
  <si>
    <t>Прочие расходы (представительские расходы:приобретение ценных подарков и цветов)</t>
  </si>
  <si>
    <t>Национальная оборона</t>
  </si>
  <si>
    <t>0200</t>
  </si>
  <si>
    <t>Фонд компенсаций</t>
  </si>
  <si>
    <t>0203</t>
  </si>
  <si>
    <t>99 5 00 5118 0</t>
  </si>
  <si>
    <t>Мобилизационная и вневойсковая подготовка</t>
  </si>
  <si>
    <t>23-51180-00000-00000</t>
  </si>
  <si>
    <t>Оплата больничного листа</t>
  </si>
  <si>
    <t>Прочие выплаты</t>
  </si>
  <si>
    <t>Командировки и служебные разъезды (суточные)</t>
  </si>
  <si>
    <t>Командировки и служебные разъезды (проживание/проезд)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</si>
  <si>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</si>
  <si>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</si>
  <si>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</si>
  <si>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</si>
  <si>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99 5 00 5930 0</t>
  </si>
  <si>
    <t>Иные работы, услуги</t>
  </si>
  <si>
    <t>МП "По обеспечению пожарной безопасности на территории МО "Поселок Чернышевский" Республики Саха (Якутия) на 2020-2024 г.г."</t>
  </si>
  <si>
    <t>0310</t>
  </si>
  <si>
    <t>22 2 00 1007 0</t>
  </si>
  <si>
    <t>Иные работы</t>
  </si>
  <si>
    <t>22 2 00 1005 0</t>
  </si>
  <si>
    <t xml:space="preserve">Иные работы и услуги </t>
  </si>
  <si>
    <t>Приобретение основных средств</t>
  </si>
  <si>
    <t>6430010030</t>
  </si>
  <si>
    <r>
      <t xml:space="preserve">Обустройство минерализованных полос на территории МО "Поселок Чернышевский" </t>
    </r>
    <r>
      <rPr>
        <b/>
        <sz val="10"/>
        <rFont val="Arial"/>
        <family val="2"/>
        <charset val="204"/>
      </rPr>
      <t>(МБТ)</t>
    </r>
  </si>
  <si>
    <r>
      <t xml:space="preserve">Приобретение пожарных гидрантов надземной конструкции с изготовлением и покраской коробов к ним, приобретение светоотражающих знаков для установки в некоторых кварталах, расположенных на территории МО "Поселок Чернышевский" Мирнинского района </t>
    </r>
    <r>
      <rPr>
        <b/>
        <sz val="10"/>
        <rFont val="Arial"/>
        <family val="2"/>
        <charset val="204"/>
      </rPr>
      <t>(МБТ)</t>
    </r>
  </si>
  <si>
    <t>6430010040</t>
  </si>
  <si>
    <t>приобр.изготовл.дорожных знаков и стоек</t>
  </si>
  <si>
    <r>
      <t xml:space="preserve">Приобретение дымовых извещателей пожарных ДИП GSM (ИП 212-63А-GSM) для установки в жилищном фонде на территории МО "Поселок Чернышевский" </t>
    </r>
    <r>
      <rPr>
        <b/>
        <sz val="10"/>
        <rFont val="Arial Cyr"/>
        <charset val="204"/>
      </rPr>
      <t>(МБТ)</t>
    </r>
  </si>
  <si>
    <r>
      <t>Расширение муниципальной автоматизированной системы оповещения населения на территории МО "Поселок Чернышевский"</t>
    </r>
    <r>
      <rPr>
        <b/>
        <sz val="10"/>
        <rFont val="Arial Cyr"/>
        <charset val="204"/>
      </rPr>
      <t xml:space="preserve"> (МБТ)</t>
    </r>
  </si>
  <si>
    <t>Приобретение медикаментов и перевязочных средств</t>
  </si>
  <si>
    <t>341</t>
  </si>
  <si>
    <t>Приобретение продуктов питания</t>
  </si>
  <si>
    <t>342</t>
  </si>
  <si>
    <t>Увеличение стоимости материальных запасов (противопожарный инвентарь)</t>
  </si>
  <si>
    <t>НАЦИОНАЛЬНАЯ ЭКОНОМИКА</t>
  </si>
  <si>
    <t>0400</t>
  </si>
  <si>
    <t>Сельское хозяйство и рыболовство</t>
  </si>
  <si>
    <t>0405</t>
  </si>
  <si>
    <t>Выполнение работ по организации мероприятий при осуществлении деятельности по обращению с животными без владельцем</t>
  </si>
  <si>
    <t>9950069360</t>
  </si>
  <si>
    <r>
      <t xml:space="preserve">Приобретение, установка блок-вагонов и вольеров в целях организации приюта для животных без владельцев МО «Посёлок Чернышевский» </t>
    </r>
    <r>
      <rPr>
        <b/>
        <sz val="10"/>
        <rFont val="Arial Cyr"/>
        <charset val="204"/>
      </rPr>
      <t>(МБТ)</t>
    </r>
  </si>
  <si>
    <t>Транспорт</t>
  </si>
  <si>
    <t>0408</t>
  </si>
  <si>
    <t>Другие виды транспорта</t>
  </si>
  <si>
    <t>Отдельные мероприятия по другим видам транспорта</t>
  </si>
  <si>
    <t>6040310030</t>
  </si>
  <si>
    <t>Субсидирование социально-значимых пассажирских перевозок</t>
  </si>
  <si>
    <t>Безвозмездные и безвозвратные перечисления  организациям, за исключением государственных и муниципальных организаций (пассажирские перевозки)</t>
  </si>
  <si>
    <r>
      <t xml:space="preserve">Приобретение пассажирского автобуса </t>
    </r>
    <r>
      <rPr>
        <b/>
        <sz val="10"/>
        <rFont val="Arial Cyr"/>
        <charset val="204"/>
      </rPr>
      <t>(МБТ)</t>
    </r>
  </si>
  <si>
    <t>Дорожное хозяйство (дорожные фонды)</t>
  </si>
  <si>
    <t>0409</t>
  </si>
  <si>
    <t>МП "Ремонт и содержание дорог общего пользования местного значения в муниципальном образовании "Посёлок Чернышевский Мирнинского района Республики Саха (Якутия) на 2020-2024 годы</t>
  </si>
  <si>
    <t>6030010030</t>
  </si>
  <si>
    <t>Содержание дорог</t>
  </si>
  <si>
    <t xml:space="preserve">Выполнение работ по содержанию автомобильных дорог общего пользования местного значения, площадей и тротуаров на территории МО "Посёлок Чернышевский" </t>
  </si>
  <si>
    <r>
      <t>Содержание автомобильных дорог общего пользования местного значения"</t>
    </r>
    <r>
      <rPr>
        <b/>
        <sz val="10"/>
        <rFont val="Arial Cyr"/>
        <charset val="204"/>
      </rPr>
      <t xml:space="preserve"> (МБТ)</t>
    </r>
  </si>
  <si>
    <r>
      <t>Изготовление технических паспортов автомобильных дорог на территории МО "Поселок Чернышевский"</t>
    </r>
    <r>
      <rPr>
        <b/>
        <sz val="10"/>
        <rFont val="Arial Cyr"/>
        <charset val="204"/>
      </rPr>
      <t xml:space="preserve"> (МБТ)</t>
    </r>
  </si>
  <si>
    <t>ЦП " Развитие предпринимательства в посёлке Чернышевский на  годы"</t>
  </si>
  <si>
    <t>0412</t>
  </si>
  <si>
    <t>Мероприятия в области предпринимательства</t>
  </si>
  <si>
    <t>26 3 00 1001 0</t>
  </si>
  <si>
    <t>812</t>
  </si>
  <si>
    <t>Приобретение и установка дорожных знаков на территории МО "Поселок Чернышевский"</t>
  </si>
  <si>
    <t>18 5 00 8852 0</t>
  </si>
  <si>
    <t>Оплата задолженности по Представлению прокуратуры ИП Лафета</t>
  </si>
  <si>
    <t>18 5 00 1001 0</t>
  </si>
  <si>
    <t>Другие вопросы в области национальной экономики (землеустроитель)</t>
  </si>
  <si>
    <t>100</t>
  </si>
  <si>
    <t>111</t>
  </si>
  <si>
    <t>119</t>
  </si>
  <si>
    <t>на выполнение кадастровых работ по пешеходной дорожке</t>
  </si>
  <si>
    <r>
      <t xml:space="preserve">На разработку дизайн проекта, проекто-сметной документации на благоустройство территории </t>
    </r>
    <r>
      <rPr>
        <b/>
        <sz val="10"/>
        <rFont val="Arial Cyr"/>
        <charset val="204"/>
      </rPr>
      <t>(МБТ)</t>
    </r>
  </si>
  <si>
    <t>ЖИЛИЩНО-КОММУНАЛЬНОЕ ХОЗЯЙСТВО</t>
  </si>
  <si>
    <t>0500</t>
  </si>
  <si>
    <t>Поддержка коммунального хозяйства</t>
  </si>
  <si>
    <t>Жилищное хозяйство</t>
  </si>
  <si>
    <t>0501</t>
  </si>
  <si>
    <t>Региональная программа капитального ремонта общего имущества в многоквартирных домах, расположенных на территории Республики Саха (Якутия) (взнос на капитальный ремонт, доля собственников)</t>
  </si>
  <si>
    <t>МП "Переселение граждан из аварийного жилищного фонда МО "Посёлок Чернышевский" на 2022-2025 годы"</t>
  </si>
  <si>
    <r>
      <t xml:space="preserve">приобретение жилых помещений для переселения граждан из аварийного муниципального жилищного фонда (ПД и ПДУ) </t>
    </r>
    <r>
      <rPr>
        <b/>
        <sz val="10"/>
        <rFont val="Arial Cyr"/>
        <charset val="204"/>
      </rPr>
      <t>(МБТ)</t>
    </r>
  </si>
  <si>
    <t>6130010013</t>
  </si>
  <si>
    <t>412</t>
  </si>
  <si>
    <t xml:space="preserve">Благоустройство </t>
  </si>
  <si>
    <t>0503</t>
  </si>
  <si>
    <t>МП "Благоустройство территории МО "Посёлок Чернышевский" на 2019-2024 годы", в том числе:</t>
  </si>
  <si>
    <t>Иные работы и услуги (оплата электроэнергии уличного освещения)</t>
  </si>
  <si>
    <t>63 3 00 1000 1</t>
  </si>
  <si>
    <r>
      <t xml:space="preserve">Выполнение работ по техническому содержанию  уличного освещения МО "Посёлок Чернышевский" </t>
    </r>
    <r>
      <rPr>
        <b/>
        <sz val="10"/>
        <rFont val="Arial Cyr"/>
        <charset val="204"/>
      </rPr>
      <t>(МБТ)</t>
    </r>
  </si>
  <si>
    <r>
      <t xml:space="preserve">На проведение работ по расширению мест захоронения (остатки 2022) </t>
    </r>
    <r>
      <rPr>
        <b/>
        <sz val="10"/>
        <rFont val="Arial Cyr"/>
        <charset val="204"/>
      </rPr>
      <t>МБТ</t>
    </r>
  </si>
  <si>
    <t>9950091011</t>
  </si>
  <si>
    <r>
      <t xml:space="preserve">выполнение работ по восстановлению уличного освещения в кв. ВНИМС и кв. Монтажников на территории МО "Поселок Чернышевский" </t>
    </r>
    <r>
      <rPr>
        <b/>
        <sz val="10"/>
        <rFont val="Arial Cyr"/>
        <charset val="204"/>
      </rPr>
      <t>(МБТ)</t>
    </r>
  </si>
  <si>
    <t>Установка опор уличного освещения дворовой территории дома №4,№2 по ул. Дзержинского МО "Поселок Чернышевский"</t>
  </si>
  <si>
    <t>Установка опор уличного освещения дворовой территории дома № 12,14 по ул. Космонавтов МО "Поселок Чернышевский"</t>
  </si>
  <si>
    <t>Замена уличных фонарей на центральной площади и площади "Победы" на территории МО "Поселок Чернышевский"</t>
  </si>
  <si>
    <t>Разработка муниципальной программы энергосбережение и повышение энергоэффективности</t>
  </si>
  <si>
    <t xml:space="preserve">Иные работы и услуги (содержание кладбища) </t>
  </si>
  <si>
    <t>63 3 00 1000 3</t>
  </si>
  <si>
    <t>2 мес</t>
  </si>
  <si>
    <t>99 5 00 9101 1</t>
  </si>
  <si>
    <t>Использование линий электропередач</t>
  </si>
  <si>
    <t>Выполнение работ по ремонту детских площадок на территории МО "Посёлок Чернышевский"</t>
  </si>
  <si>
    <t>Устройство детской площадки на придомовой территории дома №4 по ул. Дзержинского МО "Поселок Чернышевский"</t>
  </si>
  <si>
    <t>Ограждение мусорных баков на территории МО "Поселок Чернышевский"</t>
  </si>
  <si>
    <t>неизвестная программа</t>
  </si>
  <si>
    <r>
      <t xml:space="preserve">Выполнение работ по разработке проектно-сметной документации «Устройство уличного освещения на пешеходной дорожке между ул. Космонавтов и ул. Гидростроителей на территории МО «Поселок Чернышевский» </t>
    </r>
    <r>
      <rPr>
        <b/>
        <sz val="10"/>
        <rFont val="Arial Cyr"/>
        <charset val="204"/>
      </rPr>
      <t>(МБТ)</t>
    </r>
  </si>
  <si>
    <t>Другие вопросы в области жилищно-коммунального хозяйства (МКУ "УЖКХ")</t>
  </si>
  <si>
    <t>0505</t>
  </si>
  <si>
    <t>99 5 009100 9</t>
  </si>
  <si>
    <t xml:space="preserve">Командировки и служебные разъезды (оплата транспортных расходов) </t>
  </si>
  <si>
    <t>Прочие выплаты населению (проезд в отпуск)</t>
  </si>
  <si>
    <t xml:space="preserve">Услуги связи </t>
  </si>
  <si>
    <t>Командировки и служебные разъезды (оплата транспортных расходов)</t>
  </si>
  <si>
    <t xml:space="preserve">          </t>
  </si>
  <si>
    <t>Вывоз мусора</t>
  </si>
  <si>
    <t>Работы, услуги по содержанию имущества (опл.по дог.ГПХ за уборку здания администрации)</t>
  </si>
  <si>
    <t xml:space="preserve">Командировки и служебные разъезды (оплата проживания на время нахождения в служебной командировке) </t>
  </si>
  <si>
    <t>Прочие работы, услуги (опл.по дог.ГПХ за охрану здания Администрации+торговый комплекс)</t>
  </si>
  <si>
    <t>Подписка на периодические и справочные издания</t>
  </si>
  <si>
    <t>Иные работы и услуги (охрана труда)</t>
  </si>
  <si>
    <t>Налог на имущество</t>
  </si>
  <si>
    <t>Прочие расходные материалы и предметы снабжения (в части расходных материалов)</t>
  </si>
  <si>
    <t>Охрана окружающей среды</t>
  </si>
  <si>
    <t>0605</t>
  </si>
  <si>
    <r>
      <t xml:space="preserve">Проведение работ по ликвидации мест несанкционированных свалок крупногабаритных отходов, расположенных на территории МО "Поселок Чернышевский" </t>
    </r>
    <r>
      <rPr>
        <b/>
        <sz val="10"/>
        <rFont val="Arial"/>
        <family val="2"/>
        <charset val="204"/>
      </rPr>
      <t>(МБТ)</t>
    </r>
  </si>
  <si>
    <t>9950091007</t>
  </si>
  <si>
    <r>
      <t xml:space="preserve">Проведение работ по ликвидации мест несанкционированного размещения отходов металлолома, в т.ч. автокузовов, расположенных на территории МО "Поселок Чернышевский" </t>
    </r>
    <r>
      <rPr>
        <b/>
        <sz val="10"/>
        <rFont val="Arial"/>
        <family val="2"/>
        <charset val="204"/>
      </rPr>
      <t>(МБТ)</t>
    </r>
  </si>
  <si>
    <t>ОБРАЗОВАНИЕ</t>
  </si>
  <si>
    <t>0700</t>
  </si>
  <si>
    <t>МП "Основные направления развития молодёжной политики МО "Посёлок Чернышевский" Мирнинского района РС (Я) на 2021-2025 годы"</t>
  </si>
  <si>
    <t>0707</t>
  </si>
  <si>
    <t>5230010001</t>
  </si>
  <si>
    <t>Мероприятия в области молодёжной политики</t>
  </si>
  <si>
    <r>
      <t xml:space="preserve">Организация занятости студентов в летний период </t>
    </r>
    <r>
      <rPr>
        <b/>
        <sz val="10"/>
        <rFont val="Arial"/>
        <family val="2"/>
        <charset val="204"/>
      </rPr>
      <t>(МБТ)</t>
    </r>
  </si>
  <si>
    <t>11 2 00 1102 0</t>
  </si>
  <si>
    <t>Приобретение расходных материалов (стройматериалы)</t>
  </si>
  <si>
    <t>344</t>
  </si>
  <si>
    <t>Приобретение расходных материалов (хозтовары)</t>
  </si>
  <si>
    <t>КУЛЬТУРА, КИНЕМАТОГРАФИЯ  (Администрация)</t>
  </si>
  <si>
    <t>0800</t>
  </si>
  <si>
    <t>99 5 00 9101 3</t>
  </si>
  <si>
    <t>Приобретение призовой и наградной продукции</t>
  </si>
  <si>
    <t>КУЛЬТУРА, КИНЕМАТОГРАФИЯ</t>
  </si>
  <si>
    <t>КУЛЬТУРА, КИНЕМАТОГРАФИЯ (субсидия)</t>
  </si>
  <si>
    <t>МП "Сохранение, поддержка и развитие сферы культуры МО "Посёлок Чернышевский"  на 2020-2024 годы"</t>
  </si>
  <si>
    <t>Безвозмездные перечисления государственным и муниципальным организациям (субсидии на выполнение муниципального задания )</t>
  </si>
  <si>
    <t>0801</t>
  </si>
  <si>
    <t>5040022000</t>
  </si>
  <si>
    <t>611</t>
  </si>
  <si>
    <t>241</t>
  </si>
  <si>
    <t>17000</t>
  </si>
  <si>
    <t>Безвозмездные перечисления государственным и муниципальным организациям (субсидии на выполнение муниципального задания повышение ФОТ)</t>
  </si>
  <si>
    <t>Безвозмездные перечисления государственным и муниципальным организациям (КММ)</t>
  </si>
  <si>
    <t>5030010000</t>
  </si>
  <si>
    <t>Безвозмездные перечисления государственным и муниципальным организациям (субсидии на выполнение муниципального задания проезд в отпуск)</t>
  </si>
  <si>
    <t>99 5 00 9101 8</t>
  </si>
  <si>
    <t>612</t>
  </si>
  <si>
    <t>0095</t>
  </si>
  <si>
    <r>
      <t xml:space="preserve">На дополнительную компенсацию расходов по оплате проезда в отпуск работникам учреждений культуры </t>
    </r>
    <r>
      <rPr>
        <b/>
        <sz val="10"/>
        <rFont val="Arial"/>
        <family val="2"/>
        <charset val="204"/>
      </rPr>
      <t>(МБТ)</t>
    </r>
  </si>
  <si>
    <t>Безвозмездные перечисления государственным и муниципальным организациям (субсидии на жилищно-коммунальные услуги)</t>
  </si>
  <si>
    <t>10 1 00 2200 1</t>
  </si>
  <si>
    <t>СОЦИАЛЬНАЯ ПОЛИТИКА</t>
  </si>
  <si>
    <t>1000</t>
  </si>
  <si>
    <t>Пенсионное обеспечение</t>
  </si>
  <si>
    <t>1001</t>
  </si>
  <si>
    <t>99 5 00 7102 0</t>
  </si>
  <si>
    <t>312</t>
  </si>
  <si>
    <t>Социальное обеспечение населения</t>
  </si>
  <si>
    <t>1003</t>
  </si>
  <si>
    <t>МП "Социальная поддержка населения" МО "Посёлок Чернышевский" Мирнинского района РС(Я) на 2020-2024 годы</t>
  </si>
  <si>
    <t>Транспортные расходы</t>
  </si>
  <si>
    <t>5540010000</t>
  </si>
  <si>
    <t>справка 256</t>
  </si>
  <si>
    <t>55300S2560</t>
  </si>
  <si>
    <t>Субсидии на софинансирование муниципальных программ по созданию доступной среды жизнедеятельности для инвалидов и других маломобильных групп населения (за счет средств ГБ)</t>
  </si>
  <si>
    <t>5530062560</t>
  </si>
  <si>
    <r>
      <t xml:space="preserve">Софинансирование муниципальных программ по созданию доступной среды жизнедеятельности для инвалидов и других маломобильных групп населения (за счет средств МО "Мирнинский район") </t>
    </r>
    <r>
      <rPr>
        <b/>
        <sz val="10"/>
        <rFont val="Arial Cyr"/>
        <charset val="204"/>
      </rPr>
      <t>(МБТ)</t>
    </r>
  </si>
  <si>
    <t>Захоронение безродных малообеспеченных граждан</t>
  </si>
  <si>
    <t>Пособия по социальной помощи населению</t>
  </si>
  <si>
    <t>262</t>
  </si>
  <si>
    <t>Создание доступной среды жизнедеятельности для инвалидов</t>
  </si>
  <si>
    <t>Прочие расходы (сувенирная и наградная продукция)</t>
  </si>
  <si>
    <t>Поддержка на конкурсной основе территориальных общественных самоуправлений (за счет средств ГБ)</t>
  </si>
  <si>
    <t>5230065120</t>
  </si>
  <si>
    <t>813</t>
  </si>
  <si>
    <t>246</t>
  </si>
  <si>
    <r>
      <t xml:space="preserve">Софинансирование, в том числе в полном объеме, программ (подпрограмм, мероприятий) по поддержке на конкурсной основе территориальных общественных самоуправлений </t>
    </r>
    <r>
      <rPr>
        <b/>
        <sz val="10"/>
        <rFont val="Arial"/>
        <family val="2"/>
        <charset val="204"/>
      </rPr>
      <t>(МБТ)</t>
    </r>
  </si>
  <si>
    <t>52300S5120</t>
  </si>
  <si>
    <r>
      <t xml:space="preserve">Создание досугового центра для пенсионеров в п. Чернышевский Мирнинского района Республики Саха (Якутия) </t>
    </r>
    <r>
      <rPr>
        <b/>
        <sz val="10"/>
        <rFont val="Arial"/>
        <family val="2"/>
        <charset val="204"/>
      </rPr>
      <t>(МБТ)</t>
    </r>
  </si>
  <si>
    <t>МП "Чернышевский, доброжелательный к детям МО "Посёлок Чернышевский" Мирнинского района РС(Я) на 2020-2024 годы</t>
  </si>
  <si>
    <t>5530010080</t>
  </si>
  <si>
    <t>ФИЗИЧЕСКАЯ КУЛЬТУРА И СПОРТ</t>
  </si>
  <si>
    <t>1100</t>
  </si>
  <si>
    <t>Другие вопросы в области физической культуры и спорта</t>
  </si>
  <si>
    <t>МП "Развитие физической культуры и спорта в муниципальном образовании "Посёлок Чернышевский" на 2023-2025 годы"</t>
  </si>
  <si>
    <t>Безвозмездные перечисления государственным и муниципальным организациям (субсидии на выполнение муниципального задания организация предоставления общедоступного и бесплатного посещения спортивных объектов)</t>
  </si>
  <si>
    <t>5740022001</t>
  </si>
  <si>
    <t>Безвозмездные перечисления государственным и муниципальным организациям (субсидии на выполнение муниципального задания на повышение ФОТ)</t>
  </si>
  <si>
    <t>Безвозмездные перечисления государственным и муниципальным организациям (ГТО)</t>
  </si>
  <si>
    <t>5730010001</t>
  </si>
  <si>
    <t>Безвозмездные перечисления государственным и муниципальным организациям (СММ)</t>
  </si>
  <si>
    <t>5730010000</t>
  </si>
  <si>
    <t>99 5 00 0000 0</t>
  </si>
  <si>
    <t>99 5 00 9101 4</t>
  </si>
  <si>
    <t>Безвозмездные перечисления государственным и муниципальным организациям (компенсация затрат сотрудникам по выезду из РКС)</t>
  </si>
  <si>
    <t>0038</t>
  </si>
  <si>
    <r>
      <t xml:space="preserve">На дополнительную компенсацию расходов по оплате проезда в отпуск работникам учреждений физической культуры и спорта </t>
    </r>
    <r>
      <rPr>
        <b/>
        <sz val="10"/>
        <rFont val="Arial"/>
        <family val="2"/>
        <charset val="204"/>
      </rPr>
      <t>(МБТ)</t>
    </r>
  </si>
  <si>
    <r>
      <t xml:space="preserve">Проведение капитального ремонта здания спортивного комплекса с плавательным бассейном МБУ ФОК «Каскад» п.Чернышевский) </t>
    </r>
    <r>
      <rPr>
        <b/>
        <sz val="10"/>
        <rFont val="Arial Cyr"/>
        <charset val="204"/>
      </rPr>
      <t>(МБТ)</t>
    </r>
  </si>
  <si>
    <t>МЕЖБЮДЖЕТНЫЕ ТРАНСФЕРТЫ ОБЩЕГО ХАРАКТЕРА БЮДЖЕТНОЙ СИСТЕМЫ РФ</t>
  </si>
  <si>
    <t>Прочие межбюджетные трансферты общего характера</t>
  </si>
  <si>
    <t>1403</t>
  </si>
  <si>
    <t>99 6  00 8851 0</t>
  </si>
  <si>
    <t>540</t>
  </si>
  <si>
    <t>250</t>
  </si>
  <si>
    <t>Перечисления другим бюджетам бюджетной системы РФ</t>
  </si>
  <si>
    <t>251</t>
  </si>
  <si>
    <t>Субвенции на осуществление части полномочий по решению вопросов местного значения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</si>
  <si>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Содержание специалиста по архитектуре</t>
  </si>
  <si>
    <t>КСП</t>
  </si>
  <si>
    <t>Финорган</t>
  </si>
  <si>
    <t>Итого расходов</t>
  </si>
  <si>
    <t>бюджетам городских и сельских поселений Мирнинского района на 2022 год</t>
  </si>
  <si>
    <t xml:space="preserve">Иные межбюджетные трансферты на 2023 год, предоставленные из бюджета МО "Мирнинский район" по решению сессии Мирнинского районного Совета депутатов от 19.10.2023 V-№2-7 «О внесении изменений и дополнений в решение сессии Мирнинского районного Совета депутатов от 21.12.2022г. IV-№40-2 «О бюджете муниципального образования «Мирнинский район» Республики Саха (Якутия) на 2023 год и на плановый период 2024 и 2025 годов». </t>
  </si>
  <si>
    <t>МО "Поселок Чернышевский"</t>
  </si>
  <si>
    <t>№</t>
  </si>
  <si>
    <t>ВСЕГО МБТ к уточнению на 2023 год</t>
  </si>
  <si>
    <t>МБТ (новые)</t>
  </si>
  <si>
    <t xml:space="preserve">Сумма корректировки </t>
  </si>
  <si>
    <t>3=4+5</t>
  </si>
  <si>
    <t>Межбюджетные трансферты из государственного бюджета РС (Я) и ФБ</t>
  </si>
  <si>
    <t>1.1</t>
  </si>
  <si>
    <t xml:space="preserve">Дотация на поддержку мер по обеспечению сбалансированности местных бюджетов на повышение ФОТ работников бюджетной сферы на 2023 год  (в соответствии с Постановлением Правительства РС (Я) от 10.03.2023 № 92) </t>
  </si>
  <si>
    <t>1.2</t>
  </si>
  <si>
    <t>Дотация на поддержку мер по обеспечению сбалансированности местных бюджетов на повышение ФОТ работников бюджетной сферы на 2023 год (в соответствии с Постановлением Правительства РС (Я) от 12.04.2023 № 163 )</t>
  </si>
  <si>
    <t>1.3</t>
  </si>
  <si>
    <t>Дотация на поддержку мер по обеспечению сбалансированности местных бюджетов на реализацию мер по повышению заработной платы работников аппаратов администраций муниципальных образований поселений</t>
  </si>
  <si>
    <t>1.4</t>
  </si>
  <si>
    <t>2</t>
  </si>
  <si>
    <t>Иные межбюджетные трансферты передаваемые из бюджета района</t>
  </si>
  <si>
    <t>2.1</t>
  </si>
  <si>
    <t>Программные расходы</t>
  </si>
  <si>
    <t>2.1.1</t>
  </si>
  <si>
    <t>МП "Комплексное развитие систем коммунальной инфраструктуры и комфортного пространства для жизнедеятельности граждан на территории Мирнинского района"</t>
  </si>
  <si>
    <t>2.1.1.1</t>
  </si>
  <si>
    <t>Иные межбюджетные трансферты на выполнение работ по разработке проектно-сметной документации "Устройство паркового освещения на пешеходной дорожке между ул. Космонавтов и ул. Гидростроителей на территории МО "Поселок Чернышевский"</t>
  </si>
  <si>
    <t>2.1.2</t>
  </si>
  <si>
    <t>МП "Осуществление дорожной деятельности в отношении автомобильных дорог местного значения в границах МО "Мирнинский район Республики Саха (Якутия) на 2019-2023 годы"</t>
  </si>
  <si>
    <t>2.1.2.1</t>
  </si>
  <si>
    <t>2.1.3</t>
  </si>
  <si>
    <t>МП "Развитие физической культуры и спорта в Мирнинском районе" на 2019 - 2023 годы</t>
  </si>
  <si>
    <t>2.1.3.1</t>
  </si>
  <si>
    <t>Иные межбюджетные трансферты на дополнительную компенсацию расходов по оплате проезда в отпуск работникам учреждений физической культуры и спорта</t>
  </si>
  <si>
    <t>2.1.4</t>
  </si>
  <si>
    <t>МП "Переселение граждан из аварийного жилищного фонда на территории Мирнинского района на 2019-2025 годы"</t>
  </si>
  <si>
    <t>2.1.4.1</t>
  </si>
  <si>
    <t>Иные межбюджетные трансферты на приобретение жилых помещений для переселения граждан из аварийного муниципального жилищного фонда (ПД и ПДУ)</t>
  </si>
  <si>
    <t>2.1.5.</t>
  </si>
  <si>
    <t>МП "Развитие культуры и архивного дела" на 2019 - 2023 годы</t>
  </si>
  <si>
    <t>2.1.5.1</t>
  </si>
  <si>
    <t>Иные межбюджетные трансферты на дополнительную компенсацию расходов по оплате проезда в отпуск работникам учреждений культуры</t>
  </si>
  <si>
    <t>2.1.6.</t>
  </si>
  <si>
    <t>МП "Предупреждение и ликвидация последствий чрезвычайных ситуаций на территории муниципального района" на 2019 - 2023 годы</t>
  </si>
  <si>
    <t>2.1.6.1</t>
  </si>
  <si>
    <t>2.1.6.2</t>
  </si>
  <si>
    <t>Иные межбюджетные трансферты на ремонтные работы по восстановлению нерабочей системы оповещения населения на территории МО "Посёлок Чернышевский"</t>
  </si>
  <si>
    <t>2.1.7.</t>
  </si>
  <si>
    <t xml:space="preserve">МП «Охрана окружающей среды, утилизация и переработка отходов производства и потребления на территории Мирнинского района Республики Саха (Якутия)» на 2019-2023 годы
</t>
  </si>
  <si>
    <t>2.1.7.1</t>
  </si>
  <si>
    <t>2.1.8.</t>
  </si>
  <si>
    <t>МП "Управление муниципальной собственностью на 2019 - 2023 годы"</t>
  </si>
  <si>
    <t>2.1.8.1</t>
  </si>
  <si>
    <t>Иные межбюджетные трансферты на приобретение легкового автотранспортного средства</t>
  </si>
  <si>
    <t>2.2.</t>
  </si>
  <si>
    <t>2.2.1</t>
  </si>
  <si>
    <r>
      <t xml:space="preserve">Иные межбюджетные трансферты на приобретение пассажирского автобуса
</t>
    </r>
    <r>
      <rPr>
        <b/>
        <sz val="16"/>
        <rFont val="Times New Roman"/>
        <family val="1"/>
        <charset val="204"/>
      </rPr>
      <t>(изменение наименования)</t>
    </r>
  </si>
  <si>
    <t>Всего</t>
  </si>
  <si>
    <t>ВСЕГО МБТ к уточнению на 2024 год</t>
  </si>
  <si>
    <t>1</t>
  </si>
  <si>
    <t>1.1.1</t>
  </si>
  <si>
    <t>1.1.1.1</t>
  </si>
  <si>
    <t>1.1.1.2</t>
  </si>
  <si>
    <t>1.1.</t>
  </si>
  <si>
    <t>Иные межбюджетные трансферты на разработку проектносметной документации "Создание Парка здоровья с устройством лыжной трассы, дорожек терренкура, уличной спортивной площадки и скейт-парка для активного семейного досуга жителей в п. Чернышевский"</t>
  </si>
  <si>
    <t>Содержание автомобильных дорог общего пользования местного значения" (МБТ)</t>
  </si>
  <si>
    <t>Изготовление технических паспортов автомобильных дорог на территории МО "Поселок Чернышевский" (МБТ)</t>
  </si>
  <si>
    <t>На проведение работ по расширению мест захоронения (остатки 2022) МБТ</t>
  </si>
  <si>
    <t>Выполнение работ по разработке проектно-сметной документации «Устройство уличного освещения на пешеходной дорожке между ул. Космонавтов и ул. Гидростроителей на территории МО «Поселок Чернышевский» (МБТ)</t>
  </si>
  <si>
    <t>Организация занятости студентов в летний период (МБТ)</t>
  </si>
  <si>
    <t>Софинансирование, в том числе в полном объеме, программ (подпрограмм, мероприятий) по поддержке на конкурсной основе территориальных общественных самоуправлений (МБТ)</t>
  </si>
  <si>
    <t>Создание досугового центра для пенсионеров в п. Чернышевский Мирнинского района Республики Саха (Якутия) (МБТ)</t>
  </si>
  <si>
    <t>Уточнение(+,-)</t>
  </si>
  <si>
    <t xml:space="preserve">Уточненный бюджет на 30.11 2023 год </t>
  </si>
  <si>
    <t>Уточненние МБТ</t>
  </si>
  <si>
    <t>2.1.7.0</t>
  </si>
  <si>
    <t>ПРОЕКТ</t>
  </si>
  <si>
    <t>Приложение № 2</t>
  </si>
  <si>
    <t>к Решению счессии ЧПСД</t>
  </si>
  <si>
    <t>Объем расходов на реализацию муниципальных программ бюджета МО "Посёлок Чернышевский" Мирнинского района Республики Саха (Якутия) на 2023 год</t>
  </si>
  <si>
    <t>рублей</t>
  </si>
  <si>
    <t>руб.</t>
  </si>
  <si>
    <t>Целевая статья расходов</t>
  </si>
  <si>
    <t>Уточненный бюджет (июнь) на 2014 год</t>
  </si>
  <si>
    <t>Изменения</t>
  </si>
  <si>
    <t>ФОТ в пересчете на год</t>
  </si>
  <si>
    <t>коммунальные услуги с уч дефлятора (114%)</t>
  </si>
  <si>
    <t>новые решения (юбил. мер-я)</t>
  </si>
  <si>
    <t>передвижки</t>
  </si>
  <si>
    <t>Бюджет на 2023 г.</t>
  </si>
  <si>
    <t>00</t>
  </si>
  <si>
    <t>0</t>
  </si>
  <si>
    <t>00000</t>
  </si>
  <si>
    <t>64</t>
  </si>
  <si>
    <t>3</t>
  </si>
  <si>
    <t>0000 0</t>
  </si>
  <si>
    <t>10030</t>
  </si>
  <si>
    <t xml:space="preserve">Приобретение продуктов питания </t>
  </si>
  <si>
    <t>Увеличение стоимости материальных запасов(противопожарный инвентарь)</t>
  </si>
  <si>
    <t>Приобретение дорожных знаков и стоек</t>
  </si>
  <si>
    <t>Иные межбюджетные трансферты на расширение муниципальной автоматизированной системы оповещения населения на территории МО "Поселок Чернышевский"</t>
  </si>
  <si>
    <t>60</t>
  </si>
  <si>
    <t>4</t>
  </si>
  <si>
    <t>03</t>
  </si>
  <si>
    <t>МП "Формирование комфортной городской среды" МО "Посёлок Чернышевский" Мирнинского района РС(Я) на 2020-2024 годы, в том числе:</t>
  </si>
  <si>
    <t>Приобретение пассажирского автобуса</t>
  </si>
  <si>
    <t>10000</t>
  </si>
  <si>
    <t>Содержание автомобильных дорог общего пользования местного значения  (МБТ)</t>
  </si>
  <si>
    <t>Ремонт автомобильных дорог общего пользования местного значения  (МБТ)</t>
  </si>
  <si>
    <t>Изготовление проекта дорожного движения автомобильных дорог общего пользования местного значения  (МБТ)</t>
  </si>
  <si>
    <t>61</t>
  </si>
  <si>
    <t>10013</t>
  </si>
  <si>
    <t>МП "Переселение граждан из аварийного жилищного фонда МО "Посёлок Чернышевский" на 2022-2025 годы" (приобретение квартир)</t>
  </si>
  <si>
    <t>63</t>
  </si>
  <si>
    <t>10001</t>
  </si>
  <si>
    <t>Содержание и обслуживание уличного освещения</t>
  </si>
  <si>
    <t>Выполнение работ по техническому содержанию содержанию  уличного освещения МО "Посёлок Чернышевский" (МБТ)</t>
  </si>
  <si>
    <t>Установка опор уличного освещения дворовой территории дома №4,№2 по ул. Дзержинского МО "Посёлок Чернышевский"</t>
  </si>
  <si>
    <t>10003</t>
  </si>
  <si>
    <t>Содержаниеи обслуживание мест захоронения</t>
  </si>
  <si>
    <t>52</t>
  </si>
  <si>
    <t>Организация мероприятий в области молодежной политики</t>
  </si>
  <si>
    <t>50</t>
  </si>
  <si>
    <t>Культурно-массовые и информационно-просветительские мероприятия</t>
  </si>
  <si>
    <t>22000</t>
  </si>
  <si>
    <t>Расходы на обеспечение деятельности (оказание услуг) муниципальных учреждений</t>
  </si>
  <si>
    <t>57</t>
  </si>
  <si>
    <t>Организация и проведение физкультурно-оздоровительных и спортивно-массовых мероприятий</t>
  </si>
  <si>
    <t>Реализаци мероприятий ГТО</t>
  </si>
  <si>
    <t>22001</t>
  </si>
  <si>
    <t>55</t>
  </si>
  <si>
    <t>62560</t>
  </si>
  <si>
    <t>S2560</t>
  </si>
  <si>
    <t>Софинансирование муниципальных программ по созданию доступной среды жизнедеятельности для инвалидов и других маломобильных групп населения (за счет средств ГБ)</t>
  </si>
  <si>
    <t>Транспортные расхоы</t>
  </si>
  <si>
    <t>65120</t>
  </si>
  <si>
    <t>МП "По реализации социально-значимого проекта территориального общественного самоуправления</t>
  </si>
  <si>
    <t>S5120</t>
  </si>
  <si>
    <t>10080</t>
  </si>
  <si>
    <t>Приложение № 3</t>
  </si>
  <si>
    <t>Объем расходов на реализацию непрограммных направлений деятельности МО "Посёлок Чернышевский"Мирнинского района Республики Саха (Якутия) на 2023 год</t>
  </si>
  <si>
    <t>99</t>
  </si>
  <si>
    <t>1600 0</t>
  </si>
  <si>
    <t>Глава МО</t>
  </si>
  <si>
    <t>1160 0</t>
  </si>
  <si>
    <t>Заработная плата и начисления на заработную плату</t>
  </si>
  <si>
    <t>11600</t>
  </si>
  <si>
    <t>Командировочные расходы</t>
  </si>
  <si>
    <t xml:space="preserve">Компенсация </t>
  </si>
  <si>
    <t>1141 0</t>
  </si>
  <si>
    <t>Руководство и управление в сфере установленных функций органов местного самоуправления</t>
  </si>
  <si>
    <t>Функционирование Правительства РФ, высших исполнительных органов государственной власти субъектов РФ , местных администраций</t>
  </si>
  <si>
    <t xml:space="preserve">Центральный аппарат </t>
  </si>
  <si>
    <t>Обеспечение проведения выборов и референдумов депутатов</t>
  </si>
  <si>
    <t>1002 0</t>
  </si>
  <si>
    <t>Проведение выборов и референдумов Глав</t>
  </si>
  <si>
    <t>5</t>
  </si>
  <si>
    <t>7110 0</t>
  </si>
  <si>
    <t xml:space="preserve">Резервные фонды Администрации </t>
  </si>
  <si>
    <t>90</t>
  </si>
  <si>
    <t>91002</t>
  </si>
  <si>
    <t>Прочие непрограммные расходы</t>
  </si>
  <si>
    <t>9100 2</t>
  </si>
  <si>
    <t>91</t>
  </si>
  <si>
    <t>6</t>
  </si>
  <si>
    <t>6242 0</t>
  </si>
  <si>
    <t>Энергосбережение и повышение энергетической эффективности из бюджета РС (Я)</t>
  </si>
  <si>
    <t>S242 0</t>
  </si>
  <si>
    <t>Проведение экспертизы, признание домов аварийными</t>
  </si>
  <si>
    <t xml:space="preserve">91 </t>
  </si>
  <si>
    <t xml:space="preserve">8 </t>
  </si>
  <si>
    <t>Реконструкция и модернизация электрокотельной № 12 кв-л Энтузиастов (МБТ)</t>
  </si>
  <si>
    <t>1101 0</t>
  </si>
  <si>
    <t>Разработка проектов программы комплексного развития социальной инфраструктуры</t>
  </si>
  <si>
    <t>5118 0</t>
  </si>
  <si>
    <t>Осуществление первичного воинского учета на территориях, где отсутствуют военные комиссариаты</t>
  </si>
  <si>
    <t>59300</t>
  </si>
  <si>
    <t>5930 0</t>
  </si>
  <si>
    <t>Государственная регистрация актов гражданского состояния</t>
  </si>
  <si>
    <t>9100 3</t>
  </si>
  <si>
    <t>Предупреждение и ликвидация последствий чрезвычайных ситуаций и стихийных бедствий природного и техногенного характера</t>
  </si>
  <si>
    <t>9101 9</t>
  </si>
  <si>
    <t>Выполнение работ по организации мероприятий при осуществлении деятельности по обращению с животными без владельцев</t>
  </si>
  <si>
    <t xml:space="preserve">Приобретение, установка блок-вагонов и вольеров в целях организации приюта для животных без владельцев МО «Посёлок Чернышевский» </t>
  </si>
  <si>
    <t xml:space="preserve">Национальная экономика </t>
  </si>
  <si>
    <t>9100 8</t>
  </si>
  <si>
    <t>Изготовление технических планов и проведение кадастровых работ (паспортизация) автомобильных дорог</t>
  </si>
  <si>
    <t>9100 5</t>
  </si>
  <si>
    <t>Оплата труда и начисления на оплату труда, проезд в отпуск (землеустроитель)</t>
  </si>
  <si>
    <t>Выполнение работ по ремонту дорог</t>
  </si>
  <si>
    <t xml:space="preserve">Мероприятия по землеустройству и землепользованию </t>
  </si>
  <si>
    <t>Взнос на капитальный ремонт, доля собственников</t>
  </si>
  <si>
    <t>9101 1</t>
  </si>
  <si>
    <t>91011</t>
  </si>
  <si>
    <t>Выполнение инженерного обследования многоквартирного дома, расположенного по адресу: кв. Энтузиастов, д. 21</t>
  </si>
  <si>
    <t>Выполнение работ по разработке проектно-сметной документации "Устройство уличного освещения на пешеходной дорожке между ул. Космонавтов и ул. Гидростроителей на территории МО "Поселок Чернышевский" (МБТ)</t>
  </si>
  <si>
    <t>Выполнение работ по восстановлению уличного освещения в кв. ВНИМС и кв. Монтажников на территории МО "Поселок Чернышевский" (МБТ)</t>
  </si>
  <si>
    <t>66</t>
  </si>
  <si>
    <t>Иные работы по благоустройству</t>
  </si>
  <si>
    <t>9100 9</t>
  </si>
  <si>
    <t>МКУ "УЖКХ"</t>
  </si>
  <si>
    <t>91007</t>
  </si>
  <si>
    <t xml:space="preserve">Проведение работ по ликвидации мест несанкционированных свалок крупногабаритных отходов, металлолома расположенных на территории МО "Поселок Чернышевский" </t>
  </si>
  <si>
    <t>91013</t>
  </si>
  <si>
    <t>Приобретение оборудования</t>
  </si>
  <si>
    <t>9101 8</t>
  </si>
  <si>
    <t xml:space="preserve"> Безвозмездные перечисления государственным и муниципальным организациям (субсидии на выполнение муниципального задания проезд в отпуск)</t>
  </si>
  <si>
    <t>Безвозмездные перечисления государственным и муниципальным организациям (дополнительная компенсация расходов по оплате проезда в отпуск работникам учреждений культуры) (МБТ)</t>
  </si>
  <si>
    <t>9101 4</t>
  </si>
  <si>
    <t>Безвозмездные перечисления государственным и муниципальным организациям (компенсация затрат сотружникам по выезду из РКС</t>
  </si>
  <si>
    <t>Безвозмездные перечисления государственным и муниципальным организациям (дополнительная компенсация расходов по оплате проезда в отпуск работникам учреждений физической культуры и спорта) (МБТ)</t>
  </si>
  <si>
    <t>Безвозмездные перечисления государственным и муниципальным организациям (проведение капитального ремонта здания спортивного комплекса с плавательным бассейном МБУ ФОК «Каскад» п.Чернышевский) (МБТ)</t>
  </si>
  <si>
    <t>9100 7</t>
  </si>
  <si>
    <t>Охрана окружающей среды, утилизация и переработка отходов производства потребления на территории МО "Мирнинский район"</t>
  </si>
  <si>
    <t>9101 3</t>
  </si>
  <si>
    <t>Культура и средства массовой информации (Администрация)</t>
  </si>
  <si>
    <t>7102 0</t>
  </si>
  <si>
    <t>Социальная политика</t>
  </si>
  <si>
    <t>Ежемесячные доплаты к трудовой пенсии лицам, замещавшим муниципальные должности и должности муниципальной службы</t>
  </si>
  <si>
    <t>9101 2</t>
  </si>
  <si>
    <t>Единовременная выплата</t>
  </si>
  <si>
    <t>Межбюджетные трансферты за счет бюджета МО "Мирнинский район"</t>
  </si>
  <si>
    <t>9101 5</t>
  </si>
  <si>
    <t>Обслуживание муниципального долга</t>
  </si>
  <si>
    <t>8851 0</t>
  </si>
  <si>
    <t>Безвозмездные и безвозвратные перечисления бюджетам</t>
  </si>
  <si>
    <t>95</t>
  </si>
  <si>
    <t>201</t>
  </si>
  <si>
    <t>Дотация на выравнивание бюджетной обеспеченности поселений в том числе</t>
  </si>
  <si>
    <t>городские поселения</t>
  </si>
  <si>
    <t>сельские поселения</t>
  </si>
  <si>
    <t>Приложение № 5</t>
  </si>
  <si>
    <t>к решению сессии ЧПСД</t>
  </si>
  <si>
    <t>Таблица 5.1.</t>
  </si>
  <si>
    <t>Распределение бюджетных ассигнований бюджета МО "Поселок Чернышевский" Мирнинского района Республики Саха (Якутия) на 2023 год по разделам, подразделам, целевым статьям  бюджетной классификации расходов в ведомственной структуре расходов</t>
  </si>
  <si>
    <t>(руб.)</t>
  </si>
  <si>
    <t xml:space="preserve">Наименование главного распорядителя, распорядителя, получателя </t>
  </si>
  <si>
    <t>Гл</t>
  </si>
  <si>
    <t>Рз</t>
  </si>
  <si>
    <t>ПР</t>
  </si>
  <si>
    <t>ЦСР</t>
  </si>
  <si>
    <t>Уточненный бюджет на 2020 год (Решение сессии от 19.02.2020г. IV-№13-7)</t>
  </si>
  <si>
    <t>Уточнение бюджета (июнь)</t>
  </si>
  <si>
    <t>Бюджет на 2023 год</t>
  </si>
  <si>
    <t xml:space="preserve">Администрация МО "Поселок Чернышевский"  </t>
  </si>
  <si>
    <t>0000000000</t>
  </si>
  <si>
    <t>Общегосударственные вопросы</t>
  </si>
  <si>
    <t>01</t>
  </si>
  <si>
    <t>Непрограмные расходы</t>
  </si>
  <si>
    <t>9910011600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</si>
  <si>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</si>
  <si>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</si>
  <si>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органов местного самоуправления</t>
  </si>
  <si>
    <t>9910011410</t>
  </si>
  <si>
    <t xml:space="preserve">Расходы на содержание органов местного самоуправления </t>
  </si>
  <si>
    <t>Председатель представительного органа муниципального образования</t>
  </si>
  <si>
    <t>9910011710</t>
  </si>
  <si>
    <t>04</t>
  </si>
  <si>
    <t>Функционирование Правительства РФ, высших органов исполнительной власти субъектов РФ, местных администраций</t>
  </si>
  <si>
    <t>07</t>
  </si>
  <si>
    <t xml:space="preserve">Обеспечение проведения выборов и референдумов </t>
  </si>
  <si>
    <t>9930010020</t>
  </si>
  <si>
    <t>Резервные фонды</t>
  </si>
  <si>
    <t>11</t>
  </si>
  <si>
    <t>9950071100</t>
  </si>
  <si>
    <t>13</t>
  </si>
  <si>
    <t>Уплата налогов и сборов ( штрафы)</t>
  </si>
  <si>
    <t>Прочие расходные материалы и предметы снабжения (хоз.товары)</t>
  </si>
  <si>
    <t>Представительские расходы</t>
  </si>
  <si>
    <t>Выполнение других обязательств муниципальных образований</t>
  </si>
  <si>
    <t>Безвозмездные и безвозвратные перечисления  организациям, за исключением государственных и муниципальных организаций ( возмещение расходов в части коммунальных услуг по содержанию нежилого помещения "Баня")  (МБТ)</t>
  </si>
  <si>
    <t>9950051180</t>
  </si>
  <si>
    <t>Субсидии, субвенции из федерального бюджета, из гос.бюджета РС (Якутия)</t>
  </si>
  <si>
    <t>9950059300</t>
  </si>
  <si>
    <t>На выполнение отдельных государственных полномочий по государственной регистрации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</si>
  <si>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</si>
  <si>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</si>
  <si>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2200000000</t>
  </si>
  <si>
    <t>МП "По обеспечению пожарной безопасности на территории МО "Поселок Чернышевский" Респлики Саха (Якутия) на 2020-2024 г.г."</t>
  </si>
  <si>
    <t>Иные межбюджетные трансферты за счет бюджета МО "Мирнинский район" бюджетам поселений</t>
  </si>
  <si>
    <t>09</t>
  </si>
  <si>
    <t>2220010050</t>
  </si>
  <si>
    <t>Компенсация среднего заработка техническим работникам для участия в работе военного комиссариата в период первоначальной постановки граждан на воинский учет и призыва граждан на военную службу</t>
  </si>
  <si>
    <t>9950091003</t>
  </si>
  <si>
    <t>Другие вопросы в области национальной безопасности и правоохранительной деятельности</t>
  </si>
  <si>
    <t>14</t>
  </si>
  <si>
    <t>"Обеспечение общественной безопасности, участие в профилактике терроризма и экстремизма на территории Мирнинского района" на 2019-2023 годы, в т.ч.</t>
  </si>
  <si>
    <t>1710000000</t>
  </si>
  <si>
    <t>1710088520</t>
  </si>
  <si>
    <t>МП "О привлечении граждан и их объеденений к участию в обеспечении охраны общественного порядка (о добровольных народных дружинах) на территории МО "Посёлок Чернышевский" Мирнинского района Республики Саха (Якутия) на 2021-2023 годы"</t>
  </si>
  <si>
    <t>1710562770</t>
  </si>
  <si>
    <t>Приобретение пожарных гидрантов надземной конструкции с изготовлением и покраской коробов к ним, приобретение светоотражающих знаков для установки в некоторых кварталах, расположенных на территории МО "Поселок Чернышевский" Мирнинского района</t>
  </si>
  <si>
    <t>Национальная экономика</t>
  </si>
  <si>
    <t>Общеэкономические вопросы</t>
  </si>
  <si>
    <t>Субвенция на финансирование государственных полномочий по государственному регулированию цен (тарифов)</t>
  </si>
  <si>
    <t>9950063320</t>
  </si>
  <si>
    <t>05</t>
  </si>
  <si>
    <t>МП "Создание условий для развития и поддержки сельскохозяйственного производства в поселениях, расширения рынка сельскохозяйственной продукции, сырья и продовольствия в Мирнинском районе на 2019-2023 годы", в том числе:</t>
  </si>
  <si>
    <t>За счет субвенций из государственного бюджета Республики Саха (Якутия) в области сельского хозяйства</t>
  </si>
  <si>
    <t>2500000000</t>
  </si>
  <si>
    <t>Субвенция на  расходы на выполнение отдельных государственных полномочий на расходы, связанные с обеспечением осуществления отдельных государственных полномочий по поддержке сельскохозяйственного производства</t>
  </si>
  <si>
    <t>Субвенция на выполнение отдельных государственных полномочий на поддержку производства и переработки продукции животноводства</t>
  </si>
  <si>
    <t>25К0063150</t>
  </si>
  <si>
    <t>Субвенция на выполнение отдельных государственных полномочий на поддержку скотоводства</t>
  </si>
  <si>
    <t>25К0063160</t>
  </si>
  <si>
    <t>Субвенция на выполнение отдельных государственных полномочий по поддержке табунного коневодства</t>
  </si>
  <si>
    <t xml:space="preserve">04 </t>
  </si>
  <si>
    <t>25К0063390</t>
  </si>
  <si>
    <t>Субвенция на выполнение ОМСУ МР и ГО отдельных государственных полномочий по поддержке производства картофеля</t>
  </si>
  <si>
    <t>25К0063200</t>
  </si>
  <si>
    <t>Субвенция на выполнение ОМСУ МР и ГО отдельных государственных полномочий по поддержке производства овощей открытого грунта</t>
  </si>
  <si>
    <t>25К0063190</t>
  </si>
  <si>
    <t>Субсидии на софинансирование расходных обязательств по реализации мероприятий Муниципальных программ (подпрограмм) развития кормопроизводства в 2020 году</t>
  </si>
  <si>
    <t>25К0062690</t>
  </si>
  <si>
    <t>Выполнение работ по организации мероприятий при осуществлении деятельности по обращению с животными без владельцев на территории МО "Посёлок Чернышевский" (МБТ)</t>
  </si>
  <si>
    <t>08</t>
  </si>
  <si>
    <t>МП "Социальная поддержка населения МО "Посёлок Чернышевский" на 2020-2024 годы"</t>
  </si>
  <si>
    <t>1860010030</t>
  </si>
  <si>
    <t>Приобретение пассажирского автобуса ПАЗ-4234 (МБТ)</t>
  </si>
  <si>
    <t xml:space="preserve">Дорожное хозяйство  </t>
  </si>
  <si>
    <t>МП "Ремонт и содержание дорог общего пользования местного значения в муниципальном образовании "Посёлок Чернышевский Мирнинского района Республики Саха (Якутия) на 2020-2024 годы, в том числе:</t>
  </si>
  <si>
    <t>1850000000</t>
  </si>
  <si>
    <t>1850010010</t>
  </si>
  <si>
    <r>
      <t>Содержание автомобильных дорог общего пользования местного значения"</t>
    </r>
    <r>
      <rPr>
        <b/>
        <sz val="12"/>
        <rFont val="Arial Cyr"/>
        <charset val="204"/>
      </rPr>
      <t xml:space="preserve"> (МБТ)</t>
    </r>
  </si>
  <si>
    <t>1850088520</t>
  </si>
  <si>
    <t>Другие вопросы в области национальной экономики</t>
  </si>
  <si>
    <t>12</t>
  </si>
  <si>
    <t>9950000000</t>
  </si>
  <si>
    <t>МП "Управление муниципальной собственностью"</t>
  </si>
  <si>
    <t>3140000000</t>
  </si>
  <si>
    <t>Содержание землеустроителя</t>
  </si>
  <si>
    <t>Выполнение кадастровых работ с подготовкой актов обследования, для снятия с кадастрового учета 11 снесенных жилых домов (МБТ)</t>
  </si>
  <si>
    <t>Жилищно-коммунальное хозяйство</t>
  </si>
  <si>
    <t>2000000000</t>
  </si>
  <si>
    <t>МП "Переселение граждан из аварийного жилищного фонда МО "Посёлок Чернышевский" на 2022-2025 годы" (приобретение квартир) МБТ</t>
  </si>
  <si>
    <t>2030010030</t>
  </si>
  <si>
    <t>Благоустройство</t>
  </si>
  <si>
    <t>2300000000</t>
  </si>
  <si>
    <t>Установка опор уличного освещения</t>
  </si>
  <si>
    <t>2320010010</t>
  </si>
  <si>
    <t>Замена уличных фонарей на площадях</t>
  </si>
  <si>
    <t>Содержание уличного освещения</t>
  </si>
  <si>
    <t>Содержание мест захоронения</t>
  </si>
  <si>
    <t>2320010030</t>
  </si>
  <si>
    <t>Обустройство пешеходной дорожки</t>
  </si>
  <si>
    <t xml:space="preserve">Ограждение мусорных баков </t>
  </si>
  <si>
    <t>Использование линий передач</t>
  </si>
  <si>
    <t>Технологическое присоединение к электросетям</t>
  </si>
  <si>
    <t xml:space="preserve">МКУ "Управление жилищно-коммунального хозяйства" </t>
  </si>
  <si>
    <t>9900000000</t>
  </si>
  <si>
    <t>Расходы на обеспечение деятельности муниципального учреждения МКУ "УЖКХ</t>
  </si>
  <si>
    <t>9950091009</t>
  </si>
  <si>
    <t>06</t>
  </si>
  <si>
    <t>Выполнение работ по ликвидации несанкционированных металлосвалок с территории МО "Поселок Чернышевский"</t>
  </si>
  <si>
    <t>Образование</t>
  </si>
  <si>
    <t>Общее образование</t>
  </si>
  <si>
    <t>МП "Развитие системы общего образования на 2019 - 2023 годы"</t>
  </si>
  <si>
    <t xml:space="preserve">07 </t>
  </si>
  <si>
    <t xml:space="preserve">Инвестиционная программа </t>
  </si>
  <si>
    <t>Дополнительное образование детей</t>
  </si>
  <si>
    <t>МП "Доступное дополнительное образование" на 2019 - 2023 годы</t>
  </si>
  <si>
    <t>3120010010</t>
  </si>
  <si>
    <t>523001001</t>
  </si>
  <si>
    <t>Культура</t>
  </si>
  <si>
    <t>МБУ Дом культуры "Вилюйские Огни"</t>
  </si>
  <si>
    <t>МП "Сохранение, поддержка и развитие сферы культуры МО "Посёлок Чернышевский" на 2020-2024 годы", в том числе:</t>
  </si>
  <si>
    <t>Обеспечение деятельности  учреждения</t>
  </si>
  <si>
    <t>1010022001</t>
  </si>
  <si>
    <t>Расходы за счет оказания платных услуг</t>
  </si>
  <si>
    <t>834</t>
  </si>
  <si>
    <t>1030122001</t>
  </si>
  <si>
    <t>Проведение культурно-массовых мероприятий</t>
  </si>
  <si>
    <t>Обеспечение деятельности  учреждения ((Повышение ФОТ)</t>
  </si>
  <si>
    <t>504022000</t>
  </si>
  <si>
    <t>приобретение и поставка одежды сцены</t>
  </si>
  <si>
    <t>9950091018</t>
  </si>
  <si>
    <t>проезд в отпуск</t>
  </si>
  <si>
    <t>дополнительная компенсация расходов по оплате проезда в отпуск работникам учреждений культуры (МБТ)</t>
  </si>
  <si>
    <t>Увеличение стоимости ОС</t>
  </si>
  <si>
    <t>9950091013</t>
  </si>
  <si>
    <t>9950071020</t>
  </si>
  <si>
    <t>9950091012</t>
  </si>
  <si>
    <t>Возмещение выезда из районов Крайнего Севера работников бюджетной сферы)</t>
  </si>
  <si>
    <t>Мероприятия в области социальной политики</t>
  </si>
  <si>
    <t>514 01 00</t>
  </si>
  <si>
    <t>Мероприятия в области соц.защиты в т.ч.</t>
  </si>
  <si>
    <t>-льготы почетным гражданам города</t>
  </si>
  <si>
    <t>-содержание Председателя Совета старейшин</t>
  </si>
  <si>
    <t>-содержание Председателя Совета ветеранов</t>
  </si>
  <si>
    <t>-содержание помещения Совета ветеранов</t>
  </si>
  <si>
    <t>-зарплата представителя общества "Знание"</t>
  </si>
  <si>
    <t>-содержание клубов пожилых людей</t>
  </si>
  <si>
    <t>-расходы на районные мероприятия</t>
  </si>
  <si>
    <t>- расходы на проезд для сопровождения несовершеннолетних и оставшихся без попечения родителей в детском доме</t>
  </si>
  <si>
    <t xml:space="preserve"> - расходы на проезд и сопровождающих в реабилитационный Центр "Харысхал" из п.  Айхал</t>
  </si>
  <si>
    <t>-мероприятия  семьи и детства</t>
  </si>
  <si>
    <t xml:space="preserve"> - пассажирские перевозки льготной категории граждан</t>
  </si>
  <si>
    <t>ППР "СОЦИАЛЬНАЯ ПОЛИТИКА И ПОДДЕРЖКА В МИРНИНСКОМ РАЙОНЕ"</t>
  </si>
  <si>
    <t>МП "Поддержка общественных и гражданских инициатив на 2019-2023 годы"</t>
  </si>
  <si>
    <t>1520010010</t>
  </si>
  <si>
    <t>МП "Индивидуальное жилищное строительство в Мирнинском районе"</t>
  </si>
  <si>
    <t>2030010010</t>
  </si>
  <si>
    <t>МП "Создание  условий  для оказания  медицинской помощи населению и охраны здоровья граждан на 2019-2023 годы"</t>
  </si>
  <si>
    <t>1320010030</t>
  </si>
  <si>
    <t>Охрана семьи и детства</t>
  </si>
  <si>
    <t>Субвенция на обеспечение жилыми помещениями детей-сирот и детей, оставшихся без попечения родителей, и лиц из их числа</t>
  </si>
  <si>
    <t>Субвенция на выполнение государтсвенных полномочий по опеке и попечительству, в том  числе</t>
  </si>
  <si>
    <t xml:space="preserve"> - в отношении лиц, признанных судом недееспособными или ограниченно дееспособными</t>
  </si>
  <si>
    <t>61Б0063010</t>
  </si>
  <si>
    <t xml:space="preserve"> - в отношении несовершеннолетних</t>
  </si>
  <si>
    <t>6250063110</t>
  </si>
  <si>
    <t xml:space="preserve">  - в отношении несовершеннолетних дееспособных граждан, которые по состоянию здоровья не могут самостоятельно осуществлять и защищать свои права  и исполнять обязанности </t>
  </si>
  <si>
    <t>Субвенция на бесплатный проезд детей-сирот и детей, оставшихся без попечения родителей, обучающихся в муниципальных образовательных учреждениях</t>
  </si>
  <si>
    <t>6250063060</t>
  </si>
  <si>
    <t>62500R0820</t>
  </si>
  <si>
    <t xml:space="preserve">Субвенция на выплату денежных средств на детей, находящихся под опекой и попечительством на санаторно-курортное лечение, летний труд и отдых </t>
  </si>
  <si>
    <t>6250063070</t>
  </si>
  <si>
    <t>Субвенция на единовременную дополнительную выплату на каждого ребенка переданного под опеку в приемную семью</t>
  </si>
  <si>
    <t>6250063340</t>
  </si>
  <si>
    <t>Субвенция на выплату вознаграждения патронатным воспитателям</t>
  </si>
  <si>
    <t>6250063100</t>
  </si>
  <si>
    <t>Субвенция на обеспечение семейных форм устройства детей сирот (выплата ежемесячного денежного вознаграждения приемному родителю)</t>
  </si>
  <si>
    <t>6250063080</t>
  </si>
  <si>
    <t>Субвенция на обеспечение семейных форм устройства детей сирот (содержание детей в приемных семьях)</t>
  </si>
  <si>
    <t>МП "Социальные меры реабилитации детей - сирот и детей, оставшихся без попечения родителей, в Мирнинском районе на 2019-2023 годы"</t>
  </si>
  <si>
    <t xml:space="preserve">Единая субвенция на выполнение  отдельных государственных полномочий по предоставлению мер социальной поддержки детям-сиротам и детям, оставшимся без попечения родителей  (содержание детей в приемных семьях) </t>
  </si>
  <si>
    <t>1530063420</t>
  </si>
  <si>
    <t xml:space="preserve">Единая субвенция на выполнение  отдельных государственных полномочий по предоставлению мер социальной поддержки детям-сиротам и детям, оставшимся без попечения родителей (выплата ежемесячного денежного вознаграждения приемному родителю) </t>
  </si>
  <si>
    <t>Единая субвенция на выполнение  отдельных государственных полномочий по предоставлению мер социальной поддержки детям-сиротам и детям, оставшимся без попечения родителей (бесплатный проезд детей-сирот и детей, оставшихся без попечения родителей, обучающихся в муниципальных образовательных учреждениях)</t>
  </si>
  <si>
    <t>1530063450</t>
  </si>
  <si>
    <t>Субвенция на выполнение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</si>
  <si>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2030063370</t>
  </si>
  <si>
    <t>МП "Социальная поддержка населения" на 2019-2023 годы</t>
  </si>
  <si>
    <t>1390063010</t>
  </si>
  <si>
    <t>Субвенция на выполнение отдельных государственных полномочий по опеке и попечительству в отношении лиц, признанных судом недееспособным или ограниченно дееспособными</t>
  </si>
  <si>
    <t>Другие вопросы в области социальной политики</t>
  </si>
  <si>
    <t>Субвенция на исполнение функций комиссий по делам несовершеннолетних и защите их прав</t>
  </si>
  <si>
    <t xml:space="preserve">10 </t>
  </si>
  <si>
    <t>9950063310</t>
  </si>
  <si>
    <t>МП "Социальные меры реабилитации детей - сирот и детей, оставшихся без попечения родителей, в Мирнинском районе на 2019-2023 годы", в том числе:</t>
  </si>
  <si>
    <t>1520063110</t>
  </si>
  <si>
    <t>Субвенция на выполнение отдельных государственных полномочий по опеке и попечительству в отношении несовершеннолетних</t>
  </si>
  <si>
    <t>МП "Профилактика безнадзорности и правонарушений среди несовершеннолетних на 2019-2023 годы", в том числе:</t>
  </si>
  <si>
    <t>Субвенция на выполнение отдельных государственных полномочий по исполнению функций комиссий по делам несовершеннолетних и защите их прав</t>
  </si>
  <si>
    <t>МП "Социальная поддержка населения" на 2019-2023 годы, в том числе:</t>
  </si>
  <si>
    <t>1520063280</t>
  </si>
  <si>
    <t>Субвенция на выполнение отдельных государственных полномочий по осуществлению деятельности по опеке и попечительству в отношении совершеннолетних дееспособных граждан, которые по состоянию здоровья не могут самостоятельно осуществлять и защищать свои права и исполнять обязанности</t>
  </si>
  <si>
    <t>5230055120</t>
  </si>
  <si>
    <t>Физическая культура и спорт</t>
  </si>
  <si>
    <t>Расходы на обеспечение деятельности муниципального учреждения МБУ ФОК "Каскад"</t>
  </si>
  <si>
    <t>1400000000</t>
  </si>
  <si>
    <t>Периодическая печать и издательства</t>
  </si>
  <si>
    <t>МП "Создание условий для развития средств массовой информации и формирования положительного имиджа МО "Мирнинский район" на 2019-2023 годы"</t>
  </si>
  <si>
    <t>3210010020</t>
  </si>
  <si>
    <t>Обслуживание государственного и муниципального долга</t>
  </si>
  <si>
    <t>000 00 00</t>
  </si>
  <si>
    <t>Обслуживание внутреннего государственного и муниципального долга</t>
  </si>
  <si>
    <t>065 03 00</t>
  </si>
  <si>
    <t>Обслуживание  муниципального долга</t>
  </si>
  <si>
    <t>9950091015</t>
  </si>
  <si>
    <t>МЕЖБЮДЖЕТНЫЕ ТРАНСФЕРТЫ ОБЩЕГО ХАРАКТЕРА БЮДЖЕТАМ СУБЪЕКТОВ РОССИЙСКОЙ ФЕДЕРАЦИИ И МУНИЦИПАЛЬНЫХ ОБРАЗОВАНИЙ</t>
  </si>
  <si>
    <t>Перечисление другим бюджетам бюджетной системы РФ</t>
  </si>
  <si>
    <t>9960088510</t>
  </si>
  <si>
    <t>Мирнинский Районный Совет МО "Мирнинский район"</t>
  </si>
  <si>
    <t>810</t>
  </si>
  <si>
    <t>Контрольно - Счетная Палата МО "Мирнинский район"</t>
  </si>
  <si>
    <t xml:space="preserve">Обеспечение деятельности финансовых, налоговых и таможенных органов и финансового (финансово-бюджетного) надзора </t>
  </si>
  <si>
    <t xml:space="preserve">Контрольно - Счетная Палата </t>
  </si>
  <si>
    <t>Финорганы</t>
  </si>
  <si>
    <t>ИТОГО РАСХОДОВ</t>
  </si>
  <si>
    <t>Глава МО "Поселок Чернышевский"</t>
  </si>
  <si>
    <t>Ширшов А. В.</t>
  </si>
  <si>
    <t>Главный бухгалтер</t>
  </si>
  <si>
    <t>Романова И. В.</t>
  </si>
  <si>
    <t>Уточнение за счет НДФЛ и заявки на додотацию</t>
  </si>
  <si>
    <t>Приложение № 6</t>
  </si>
  <si>
    <t>Объем расходов Дорожного фонда МО "Посёлок Чернышевский" Мирнинского района Республики Саха (Якутия) на 2023 год</t>
  </si>
  <si>
    <t>Бюджет 2023 год</t>
  </si>
  <si>
    <t>в т.ч за счет доходов от уплаты акцизов на нефтепродукты</t>
  </si>
  <si>
    <t xml:space="preserve">Ремонт и содержание дорог общего пользования местного значения в муниципальном образовании "Посёлок Чернышевский Мирнинского района Республики Саха (Якутия) </t>
  </si>
  <si>
    <t xml:space="preserve">Содержание дорог </t>
  </si>
  <si>
    <t>60 3 00 1003 0</t>
  </si>
  <si>
    <t>Приложение № 7</t>
  </si>
  <si>
    <t>Источники финансирования дефицита бюджета</t>
  </si>
  <si>
    <t>МО «Посёлок Чернышевский» Мирнинского района Республики Саха (Якутия) на 2023 год</t>
  </si>
  <si>
    <t>таблица  8.1</t>
  </si>
  <si>
    <t>Источник</t>
  </si>
  <si>
    <t>Сумма</t>
  </si>
  <si>
    <t xml:space="preserve">Итого источников финансирования дефицита бюджета в т.ч. </t>
  </si>
  <si>
    <t>Изменение остатков средств</t>
  </si>
  <si>
    <t xml:space="preserve">Увеличение остатков </t>
  </si>
  <si>
    <t>Уменьшение остатков</t>
  </si>
  <si>
    <t>Муниципальные займы, осуществляемые путём выпуска ценных бумаг от имени муниципального образования</t>
  </si>
  <si>
    <t>Бюджетные кредиты, полученные от бюджетов других уровней бюджетной системы РФ</t>
  </si>
  <si>
    <t>3.1</t>
  </si>
  <si>
    <t>Привлечение основного долга</t>
  </si>
  <si>
    <t>3.2</t>
  </si>
  <si>
    <t>Погашение основного долга</t>
  </si>
  <si>
    <t>Поступления от продажи имущества, находящегося в муниципальной собственности</t>
  </si>
  <si>
    <t xml:space="preserve">Ост.на счете на 01.01.2023г. </t>
  </si>
  <si>
    <t>Приложение № 1
к решению сессии ЧПСД
от "23" ноября 2023г. № V-11-2</t>
  </si>
  <si>
    <t xml:space="preserve">к решению сессии ЧПСД
от 23.11.23 г.№ V-11-2 </t>
  </si>
  <si>
    <t>V-11-2</t>
  </si>
  <si>
    <t xml:space="preserve">                    V-11-2</t>
  </si>
  <si>
    <t xml:space="preserve">от"23"ноября 2023г. </t>
  </si>
  <si>
    <t>от "23" ноября 2023</t>
  </si>
  <si>
    <t xml:space="preserve">к решению сессии ЧПСД
от"23"ноября 2023                 №V-11-2 </t>
  </si>
  <si>
    <t>от "23" ноября 2023г.</t>
  </si>
  <si>
    <t>от "23" ноября 2023    № V-11-2</t>
  </si>
  <si>
    <t xml:space="preserve">                Объем межбюджетных трансфертов, предоставляемых из бюджета МО "Мирнинский район" Республики Саха (Якутия)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</si>
</sst>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00"/>
    <numFmt numFmtId="165" formatCode="#,##0.00000"/>
  </numFmts>
  <fonts count="73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b/>
      <sz val="10"/>
      <name val="Arial"/>
      <family val="2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charset val="204"/>
    </font>
    <font>
      <b/>
      <sz val="8"/>
      <name val="Arial Cyr"/>
      <family val="2"/>
      <charset val="204"/>
    </font>
    <font>
      <sz val="9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</font>
    <font>
      <b/>
      <i/>
      <sz val="12"/>
      <name val="Times New Roman"/>
      <family val="1"/>
      <charset val="204"/>
    </font>
    <font>
      <i/>
      <sz val="11"/>
      <name val="Calibri"/>
      <family val="2"/>
      <charset val="204"/>
    </font>
    <font>
      <i/>
      <sz val="12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rgb="FFFF0000"/>
      <name val="Calibri"/>
      <family val="2"/>
      <charset val="204"/>
    </font>
    <font>
      <b/>
      <i/>
      <sz val="12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i/>
      <sz val="12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6"/>
      <color rgb="FFFF0000"/>
      <name val="Arial"/>
      <family val="2"/>
      <charset val="204"/>
    </font>
    <font>
      <i/>
      <sz val="12"/>
      <name val="Arial"/>
      <family val="2"/>
      <charset val="204"/>
    </font>
    <font>
      <i/>
      <sz val="11"/>
      <name val="Arial"/>
      <family val="2"/>
      <charset val="204"/>
    </font>
    <font>
      <sz val="12"/>
      <name val="Arial Cyr"/>
      <charset val="204"/>
    </font>
    <font>
      <b/>
      <sz val="14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4"/>
      <name val="Arial"/>
      <family val="2"/>
      <charset val="204"/>
    </font>
    <font>
      <b/>
      <sz val="16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DADADA"/>
      </left>
      <right style="thin">
        <color rgb="FFDADADA"/>
      </right>
      <top style="thin">
        <color rgb="FFDADADA"/>
      </top>
      <bottom style="thin">
        <color rgb="FFDADADA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7">
    <xf numFmtId="0" fontId="0" fillId="0" borderId="0">
      <alignment vertical="top" wrapText="1"/>
    </xf>
    <xf numFmtId="0" fontId="3" fillId="0" borderId="0">
      <alignment vertical="top" wrapText="1"/>
    </xf>
    <xf numFmtId="0" fontId="8" fillId="0" borderId="5">
      <alignment vertical="top" wrapText="1"/>
    </xf>
    <xf numFmtId="1" fontId="9" fillId="0" borderId="6">
      <alignment horizontal="center" vertical="top" shrinkToFit="1"/>
    </xf>
    <xf numFmtId="1" fontId="9" fillId="0" borderId="5">
      <alignment vertical="top" wrapText="1"/>
    </xf>
    <xf numFmtId="43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7">
      <alignment horizontal="left" wrapText="1" indent="2"/>
    </xf>
    <xf numFmtId="49" fontId="12" fillId="0" borderId="8">
      <alignment horizontal="center"/>
    </xf>
    <xf numFmtId="4" fontId="12" fillId="0" borderId="8">
      <alignment horizontal="right" shrinkToFit="1"/>
    </xf>
    <xf numFmtId="0" fontId="15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21" fillId="0" borderId="0"/>
  </cellStyleXfs>
  <cellXfs count="607">
    <xf numFmtId="0" fontId="0" fillId="0" borderId="0" xfId="0" applyFont="1" applyFill="1" applyAlignment="1">
      <alignment vertical="top" wrapText="1"/>
    </xf>
    <xf numFmtId="0" fontId="2" fillId="4" borderId="1" xfId="0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4" fontId="2" fillId="4" borderId="1" xfId="6" applyNumberFormat="1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7" fillId="0" borderId="4" xfId="0" quotePrefix="1" applyNumberFormat="1" applyFont="1" applyBorder="1" applyAlignment="1">
      <alignment horizontal="left" vertical="center" wrapText="1"/>
    </xf>
    <xf numFmtId="0" fontId="7" fillId="0" borderId="4" xfId="0" quotePrefix="1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3" fontId="2" fillId="5" borderId="1" xfId="0" applyNumberFormat="1" applyFont="1" applyFill="1" applyBorder="1" applyAlignment="1">
      <alignment horizontal="justify" vertical="center" wrapText="1"/>
    </xf>
    <xf numFmtId="0" fontId="2" fillId="5" borderId="1" xfId="0" applyFont="1" applyFill="1" applyBorder="1" applyAlignment="1">
      <alignment horizontal="justify" vertical="center" wrapText="1"/>
    </xf>
    <xf numFmtId="4" fontId="2" fillId="0" borderId="0" xfId="0" applyNumberFormat="1" applyFont="1" applyFill="1" applyAlignment="1">
      <alignment vertical="center" wrapText="1"/>
    </xf>
    <xf numFmtId="43" fontId="2" fillId="0" borderId="0" xfId="5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2" fillId="0" borderId="1" xfId="6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3" fontId="2" fillId="0" borderId="1" xfId="1" applyNumberFormat="1" applyFont="1" applyFill="1" applyBorder="1" applyAlignment="1">
      <alignment horizontal="justify" vertical="center" wrapText="1"/>
    </xf>
    <xf numFmtId="0" fontId="13" fillId="0" borderId="1" xfId="7" applyNumberFormat="1" applyFont="1" applyBorder="1" applyAlignment="1" applyProtection="1">
      <alignment horizontal="justify" vertical="top" wrapText="1"/>
    </xf>
    <xf numFmtId="49" fontId="13" fillId="0" borderId="1" xfId="8" applyNumberFormat="1" applyFont="1" applyBorder="1" applyAlignment="1" applyProtection="1">
      <alignment horizontal="center" vertical="center"/>
    </xf>
    <xf numFmtId="4" fontId="13" fillId="0" borderId="1" xfId="9" applyNumberFormat="1" applyFont="1" applyBorder="1" applyAlignment="1" applyProtection="1">
      <alignment horizontal="right" vertical="center" shrinkToFit="1"/>
    </xf>
    <xf numFmtId="43" fontId="3" fillId="0" borderId="0" xfId="5" applyFont="1" applyFill="1" applyAlignment="1">
      <alignment vertical="center" wrapText="1"/>
    </xf>
    <xf numFmtId="43" fontId="3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5" fillId="0" borderId="0" xfId="10" applyFont="1" applyFill="1" applyAlignment="1"/>
    <xf numFmtId="0" fontId="16" fillId="0" borderId="0" xfId="10" applyFont="1" applyFill="1" applyAlignment="1">
      <alignment horizontal="center"/>
    </xf>
    <xf numFmtId="0" fontId="17" fillId="0" borderId="0" xfId="0" applyFont="1" applyFill="1" applyBorder="1" applyAlignment="1"/>
    <xf numFmtId="0" fontId="18" fillId="0" borderId="0" xfId="0" applyFont="1" applyFill="1" applyBorder="1" applyAlignment="1"/>
    <xf numFmtId="0" fontId="11" fillId="0" borderId="0" xfId="0" applyFont="1" applyFill="1" applyAlignment="1"/>
    <xf numFmtId="0" fontId="15" fillId="0" borderId="0" xfId="10" applyFont="1" applyFill="1" applyAlignment="1">
      <alignment horizontal="right"/>
    </xf>
    <xf numFmtId="0" fontId="18" fillId="0" borderId="0" xfId="0" applyFont="1" applyFill="1" applyAlignment="1">
      <alignment horizontal="left"/>
    </xf>
    <xf numFmtId="4" fontId="18" fillId="0" borderId="0" xfId="0" applyNumberFormat="1" applyFont="1" applyFill="1" applyBorder="1" applyAlignment="1"/>
    <xf numFmtId="0" fontId="11" fillId="0" borderId="0" xfId="0" applyFont="1" applyFill="1" applyBorder="1" applyAlignment="1"/>
    <xf numFmtId="0" fontId="15" fillId="0" borderId="0" xfId="10" applyFont="1" applyFill="1" applyBorder="1" applyAlignment="1"/>
    <xf numFmtId="0" fontId="17" fillId="0" borderId="0" xfId="10" applyFont="1" applyFill="1" applyAlignment="1"/>
    <xf numFmtId="0" fontId="17" fillId="0" borderId="0" xfId="10" applyFont="1" applyFill="1" applyAlignment="1">
      <alignment horizontal="right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/>
    <xf numFmtId="0" fontId="19" fillId="0" borderId="0" xfId="0" applyFont="1" applyFill="1" applyAlignment="1">
      <alignment horizontal="right"/>
    </xf>
    <xf numFmtId="0" fontId="17" fillId="0" borderId="0" xfId="0" applyFont="1" applyFill="1" applyAlignment="1">
      <alignment wrapText="1"/>
    </xf>
    <xf numFmtId="0" fontId="19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Alignment="1">
      <alignment horizontal="left" wrapText="1"/>
    </xf>
    <xf numFmtId="0" fontId="18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right"/>
    </xf>
    <xf numFmtId="0" fontId="15" fillId="0" borderId="0" xfId="10" applyFont="1" applyFill="1" applyBorder="1" applyAlignment="1">
      <alignment horizontal="right"/>
    </xf>
    <xf numFmtId="4" fontId="15" fillId="0" borderId="0" xfId="10" applyNumberFormat="1" applyFont="1" applyFill="1" applyBorder="1" applyAlignment="1"/>
    <xf numFmtId="0" fontId="21" fillId="0" borderId="1" xfId="10" applyFont="1" applyFill="1" applyBorder="1" applyAlignment="1">
      <alignment horizontal="center" vertical="center" wrapText="1"/>
    </xf>
    <xf numFmtId="49" fontId="21" fillId="0" borderId="1" xfId="10" applyNumberFormat="1" applyFont="1" applyFill="1" applyBorder="1" applyAlignment="1">
      <alignment horizontal="center" vertical="center" wrapText="1"/>
    </xf>
    <xf numFmtId="4" fontId="22" fillId="0" borderId="1" xfId="10" applyNumberFormat="1" applyFont="1" applyFill="1" applyBorder="1" applyAlignment="1">
      <alignment horizontal="center" vertical="center" wrapText="1"/>
    </xf>
    <xf numFmtId="0" fontId="21" fillId="0" borderId="0" xfId="10" applyFont="1" applyFill="1" applyBorder="1" applyAlignment="1">
      <alignment wrapText="1"/>
    </xf>
    <xf numFmtId="0" fontId="21" fillId="0" borderId="0" xfId="10" applyFont="1" applyFill="1" applyAlignment="1">
      <alignment wrapText="1"/>
    </xf>
    <xf numFmtId="0" fontId="22" fillId="0" borderId="1" xfId="10" applyFont="1" applyFill="1" applyBorder="1" applyAlignment="1">
      <alignment vertical="center" wrapText="1"/>
    </xf>
    <xf numFmtId="0" fontId="22" fillId="0" borderId="1" xfId="10" applyFont="1" applyFill="1" applyBorder="1" applyAlignment="1">
      <alignment horizontal="center" wrapText="1"/>
    </xf>
    <xf numFmtId="49" fontId="22" fillId="0" borderId="1" xfId="10" applyNumberFormat="1" applyFont="1" applyFill="1" applyBorder="1" applyAlignment="1">
      <alignment horizontal="center"/>
    </xf>
    <xf numFmtId="4" fontId="22" fillId="0" borderId="1" xfId="10" applyNumberFormat="1" applyFont="1" applyFill="1" applyBorder="1" applyAlignment="1"/>
    <xf numFmtId="4" fontId="22" fillId="0" borderId="1" xfId="10" applyNumberFormat="1" applyFont="1" applyFill="1" applyBorder="1" applyAlignment="1">
      <alignment horizontal="right"/>
    </xf>
    <xf numFmtId="0" fontId="21" fillId="0" borderId="0" xfId="10" applyFont="1" applyFill="1" applyBorder="1" applyAlignment="1"/>
    <xf numFmtId="0" fontId="21" fillId="0" borderId="0" xfId="10" applyFont="1" applyFill="1" applyAlignment="1"/>
    <xf numFmtId="0" fontId="22" fillId="0" borderId="1" xfId="10" applyFont="1" applyFill="1" applyBorder="1" applyAlignment="1">
      <alignment wrapText="1"/>
    </xf>
    <xf numFmtId="4" fontId="21" fillId="0" borderId="1" xfId="10" applyNumberFormat="1" applyFont="1" applyFill="1" applyBorder="1" applyAlignment="1"/>
    <xf numFmtId="4" fontId="21" fillId="0" borderId="0" xfId="10" applyNumberFormat="1" applyFont="1" applyFill="1" applyBorder="1" applyAlignment="1"/>
    <xf numFmtId="4" fontId="22" fillId="0" borderId="0" xfId="10" applyNumberFormat="1" applyFont="1" applyFill="1" applyBorder="1" applyAlignment="1"/>
    <xf numFmtId="0" fontId="21" fillId="0" borderId="1" xfId="10" applyFont="1" applyFill="1" applyBorder="1" applyAlignment="1">
      <alignment vertical="center" wrapText="1"/>
    </xf>
    <xf numFmtId="0" fontId="21" fillId="0" borderId="1" xfId="10" applyFont="1" applyFill="1" applyBorder="1" applyAlignment="1">
      <alignment horizontal="center" wrapText="1"/>
    </xf>
    <xf numFmtId="49" fontId="21" fillId="0" borderId="1" xfId="10" applyNumberFormat="1" applyFont="1" applyFill="1" applyBorder="1" applyAlignment="1">
      <alignment horizontal="center"/>
    </xf>
    <xf numFmtId="4" fontId="21" fillId="0" borderId="1" xfId="10" applyNumberFormat="1" applyFont="1" applyFill="1" applyBorder="1" applyAlignment="1">
      <alignment horizontal="right"/>
    </xf>
    <xf numFmtId="1" fontId="21" fillId="0" borderId="1" xfId="10" applyNumberFormat="1" applyFont="1" applyFill="1" applyBorder="1" applyAlignment="1">
      <alignment vertical="center" wrapText="1"/>
    </xf>
    <xf numFmtId="1" fontId="21" fillId="0" borderId="1" xfId="10" applyNumberFormat="1" applyFont="1" applyFill="1" applyBorder="1" applyAlignment="1">
      <alignment wrapText="1"/>
    </xf>
    <xf numFmtId="0" fontId="22" fillId="0" borderId="1" xfId="10" applyFont="1" applyFill="1" applyBorder="1" applyAlignment="1">
      <alignment horizontal="center" vertical="center" wrapText="1"/>
    </xf>
    <xf numFmtId="49" fontId="22" fillId="0" borderId="1" xfId="10" applyNumberFormat="1" applyFont="1" applyFill="1" applyBorder="1" applyAlignment="1">
      <alignment horizontal="center" vertical="center"/>
    </xf>
    <xf numFmtId="1" fontId="21" fillId="0" borderId="1" xfId="10" applyNumberFormat="1" applyFont="1" applyFill="1" applyBorder="1" applyAlignment="1">
      <alignment horizontal="center" wrapText="1"/>
    </xf>
    <xf numFmtId="4" fontId="22" fillId="0" borderId="1" xfId="10" applyNumberFormat="1" applyFont="1" applyFill="1" applyBorder="1" applyAlignment="1">
      <alignment vertical="center"/>
    </xf>
    <xf numFmtId="4" fontId="22" fillId="0" borderId="1" xfId="10" applyNumberFormat="1" applyFont="1" applyFill="1" applyBorder="1" applyAlignment="1">
      <alignment horizontal="right" vertical="center"/>
    </xf>
    <xf numFmtId="0" fontId="22" fillId="0" borderId="0" xfId="10" applyFont="1" applyFill="1" applyBorder="1" applyAlignment="1"/>
    <xf numFmtId="0" fontId="22" fillId="0" borderId="0" xfId="10" applyFont="1" applyFill="1" applyAlignment="1"/>
    <xf numFmtId="4" fontId="21" fillId="0" borderId="0" xfId="10" applyNumberFormat="1" applyFont="1" applyFill="1" applyBorder="1" applyAlignment="1">
      <alignment horizontal="right"/>
    </xf>
    <xf numFmtId="1" fontId="21" fillId="0" borderId="1" xfId="10" applyNumberFormat="1" applyFont="1" applyFill="1" applyBorder="1" applyAlignment="1">
      <alignment horizontal="center" vertical="center" wrapText="1"/>
    </xf>
    <xf numFmtId="1" fontId="23" fillId="0" borderId="1" xfId="10" applyNumberFormat="1" applyFont="1" applyFill="1" applyBorder="1" applyAlignment="1">
      <alignment horizontal="left" wrapText="1" indent="1"/>
    </xf>
    <xf numFmtId="1" fontId="23" fillId="0" borderId="1" xfId="10" applyNumberFormat="1" applyFont="1" applyFill="1" applyBorder="1" applyAlignment="1">
      <alignment horizontal="center" wrapText="1"/>
    </xf>
    <xf numFmtId="49" fontId="23" fillId="0" borderId="1" xfId="10" applyNumberFormat="1" applyFont="1" applyFill="1" applyBorder="1" applyAlignment="1">
      <alignment horizontal="center"/>
    </xf>
    <xf numFmtId="4" fontId="23" fillId="0" borderId="1" xfId="10" applyNumberFormat="1" applyFont="1" applyFill="1" applyBorder="1" applyAlignment="1"/>
    <xf numFmtId="4" fontId="23" fillId="0" borderId="1" xfId="10" applyNumberFormat="1" applyFont="1" applyFill="1" applyBorder="1" applyAlignment="1">
      <alignment horizontal="right"/>
    </xf>
    <xf numFmtId="4" fontId="23" fillId="0" borderId="0" xfId="10" applyNumberFormat="1" applyFont="1" applyFill="1" applyBorder="1" applyAlignment="1"/>
    <xf numFmtId="0" fontId="23" fillId="0" borderId="0" xfId="10" applyFont="1" applyFill="1" applyBorder="1" applyAlignment="1"/>
    <xf numFmtId="0" fontId="23" fillId="0" borderId="0" xfId="10" applyFont="1" applyFill="1" applyAlignment="1"/>
    <xf numFmtId="0" fontId="23" fillId="0" borderId="1" xfId="10" applyFont="1" applyFill="1" applyBorder="1" applyAlignment="1">
      <alignment horizontal="left" vertical="center" wrapText="1" indent="1"/>
    </xf>
    <xf numFmtId="0" fontId="23" fillId="0" borderId="1" xfId="10" applyFont="1" applyFill="1" applyBorder="1" applyAlignment="1">
      <alignment horizontal="center" vertical="center" wrapText="1"/>
    </xf>
    <xf numFmtId="1" fontId="23" fillId="0" borderId="1" xfId="10" applyNumberFormat="1" applyFont="1" applyFill="1" applyBorder="1" applyAlignment="1">
      <alignment horizontal="left" vertical="center" wrapText="1" indent="1"/>
    </xf>
    <xf numFmtId="1" fontId="23" fillId="0" borderId="1" xfId="10" applyNumberFormat="1" applyFont="1" applyFill="1" applyBorder="1" applyAlignment="1">
      <alignment horizontal="center" vertical="center" wrapText="1"/>
    </xf>
    <xf numFmtId="1" fontId="22" fillId="0" borderId="1" xfId="10" applyNumberFormat="1" applyFont="1" applyFill="1" applyBorder="1" applyAlignment="1">
      <alignment vertical="center" wrapText="1"/>
    </xf>
    <xf numFmtId="49" fontId="21" fillId="0" borderId="1" xfId="10" applyNumberFormat="1" applyFont="1" applyFill="1" applyBorder="1" applyAlignment="1">
      <alignment horizontal="center" vertical="center"/>
    </xf>
    <xf numFmtId="49" fontId="23" fillId="0" borderId="1" xfId="10" applyNumberFormat="1" applyFont="1" applyFill="1" applyBorder="1" applyAlignment="1">
      <alignment horizontal="center" vertical="center"/>
    </xf>
    <xf numFmtId="4" fontId="23" fillId="0" borderId="1" xfId="10" applyNumberFormat="1" applyFont="1" applyFill="1" applyBorder="1" applyAlignment="1">
      <alignment vertical="center"/>
    </xf>
    <xf numFmtId="4" fontId="23" fillId="0" borderId="1" xfId="10" applyNumberFormat="1" applyFont="1" applyFill="1" applyBorder="1" applyAlignment="1">
      <alignment horizontal="right" vertical="center"/>
    </xf>
    <xf numFmtId="4" fontId="23" fillId="0" borderId="0" xfId="10" applyNumberFormat="1" applyFont="1" applyFill="1" applyBorder="1" applyAlignment="1">
      <alignment vertical="center"/>
    </xf>
    <xf numFmtId="0" fontId="23" fillId="0" borderId="0" xfId="10" applyFont="1" applyFill="1" applyBorder="1" applyAlignment="1">
      <alignment vertical="center"/>
    </xf>
    <xf numFmtId="0" fontId="23" fillId="0" borderId="0" xfId="10" applyFont="1" applyFill="1" applyAlignment="1">
      <alignment vertical="center"/>
    </xf>
    <xf numFmtId="1" fontId="23" fillId="0" borderId="1" xfId="10" applyNumberFormat="1" applyFont="1" applyFill="1" applyBorder="1" applyAlignment="1">
      <alignment horizontal="left" wrapText="1" indent="2"/>
    </xf>
    <xf numFmtId="2" fontId="22" fillId="0" borderId="1" xfId="10" applyNumberFormat="1" applyFont="1" applyFill="1" applyBorder="1" applyAlignment="1">
      <alignment vertical="center" wrapText="1"/>
    </xf>
    <xf numFmtId="49" fontId="22" fillId="0" borderId="1" xfId="10" applyNumberFormat="1" applyFont="1" applyFill="1" applyBorder="1" applyAlignment="1">
      <alignment horizontal="center" vertical="center" wrapText="1"/>
    </xf>
    <xf numFmtId="2" fontId="22" fillId="0" borderId="1" xfId="10" applyNumberFormat="1" applyFont="1" applyFill="1" applyBorder="1" applyAlignment="1">
      <alignment horizontal="center" vertical="center"/>
    </xf>
    <xf numFmtId="49" fontId="21" fillId="0" borderId="1" xfId="10" applyNumberFormat="1" applyFont="1" applyFill="1" applyBorder="1" applyAlignment="1">
      <alignment horizontal="center" wrapText="1"/>
    </xf>
    <xf numFmtId="4" fontId="21" fillId="0" borderId="1" xfId="10" applyNumberFormat="1" applyFont="1" applyFill="1" applyBorder="1" applyAlignment="1">
      <alignment horizontal="center"/>
    </xf>
    <xf numFmtId="49" fontId="22" fillId="0" borderId="1" xfId="10" applyNumberFormat="1" applyFont="1" applyFill="1" applyBorder="1" applyAlignment="1">
      <alignment horizontal="center" wrapText="1"/>
    </xf>
    <xf numFmtId="4" fontId="22" fillId="0" borderId="1" xfId="10" applyNumberFormat="1" applyFont="1" applyFill="1" applyBorder="1" applyAlignment="1">
      <alignment horizontal="center"/>
    </xf>
    <xf numFmtId="1" fontId="22" fillId="0" borderId="1" xfId="10" applyNumberFormat="1" applyFont="1" applyFill="1" applyBorder="1" applyAlignment="1">
      <alignment horizontal="center" wrapText="1"/>
    </xf>
    <xf numFmtId="0" fontId="21" fillId="0" borderId="1" xfId="10" applyFont="1" applyFill="1" applyBorder="1" applyAlignment="1">
      <alignment horizontal="center"/>
    </xf>
    <xf numFmtId="1" fontId="22" fillId="0" borderId="1" xfId="10" applyNumberFormat="1" applyFont="1" applyFill="1" applyBorder="1" applyAlignment="1">
      <alignment horizontal="center" vertical="center" wrapText="1"/>
    </xf>
    <xf numFmtId="4" fontId="21" fillId="0" borderId="1" xfId="10" applyNumberFormat="1" applyFont="1" applyFill="1" applyBorder="1" applyAlignment="1">
      <alignment vertical="center"/>
    </xf>
    <xf numFmtId="0" fontId="21" fillId="0" borderId="0" xfId="10" applyFont="1" applyFill="1" applyBorder="1" applyAlignment="1">
      <alignment vertical="center"/>
    </xf>
    <xf numFmtId="0" fontId="21" fillId="0" borderId="0" xfId="10" applyFont="1" applyFill="1" applyAlignment="1">
      <alignment vertical="center"/>
    </xf>
    <xf numFmtId="0" fontId="24" fillId="0" borderId="1" xfId="10" applyFont="1" applyFill="1" applyBorder="1" applyAlignment="1">
      <alignment vertical="center" wrapText="1"/>
    </xf>
    <xf numFmtId="0" fontId="24" fillId="0" borderId="1" xfId="10" applyFont="1" applyFill="1" applyBorder="1" applyAlignment="1">
      <alignment horizontal="center" vertical="center" wrapText="1"/>
    </xf>
    <xf numFmtId="49" fontId="24" fillId="0" borderId="1" xfId="10" applyNumberFormat="1" applyFont="1" applyFill="1" applyBorder="1" applyAlignment="1">
      <alignment horizontal="center"/>
    </xf>
    <xf numFmtId="4" fontId="24" fillId="0" borderId="1" xfId="10" applyNumberFormat="1" applyFont="1" applyFill="1" applyBorder="1" applyAlignment="1">
      <alignment horizontal="right"/>
    </xf>
    <xf numFmtId="0" fontId="22" fillId="0" borderId="1" xfId="10" applyFont="1" applyFill="1" applyBorder="1" applyAlignment="1"/>
    <xf numFmtId="1" fontId="24" fillId="0" borderId="1" xfId="10" applyNumberFormat="1" applyFont="1" applyFill="1" applyBorder="1" applyAlignment="1">
      <alignment wrapText="1"/>
    </xf>
    <xf numFmtId="4" fontId="24" fillId="0" borderId="1" xfId="10" applyNumberFormat="1" applyFont="1" applyFill="1" applyBorder="1" applyAlignment="1"/>
    <xf numFmtId="1" fontId="24" fillId="0" borderId="1" xfId="10" applyNumberFormat="1" applyFont="1" applyFill="1" applyBorder="1" applyAlignment="1">
      <alignment horizontal="center" wrapText="1"/>
    </xf>
    <xf numFmtId="4" fontId="21" fillId="0" borderId="1" xfId="10" applyNumberFormat="1" applyFont="1" applyFill="1" applyBorder="1" applyAlignment="1">
      <alignment horizontal="right" vertical="center"/>
    </xf>
    <xf numFmtId="1" fontId="24" fillId="0" borderId="1" xfId="10" applyNumberFormat="1" applyFont="1" applyFill="1" applyBorder="1" applyAlignment="1">
      <alignment vertical="center" wrapText="1"/>
    </xf>
    <xf numFmtId="0" fontId="24" fillId="0" borderId="1" xfId="10" applyFont="1" applyFill="1" applyBorder="1" applyAlignment="1">
      <alignment horizontal="center" wrapText="1"/>
    </xf>
    <xf numFmtId="0" fontId="24" fillId="0" borderId="1" xfId="10" applyFont="1" applyFill="1" applyBorder="1" applyAlignment="1">
      <alignment horizontal="left" wrapText="1"/>
    </xf>
    <xf numFmtId="49" fontId="24" fillId="0" borderId="1" xfId="10" applyNumberFormat="1" applyFont="1" applyFill="1" applyBorder="1" applyAlignment="1">
      <alignment wrapText="1"/>
    </xf>
    <xf numFmtId="0" fontId="22" fillId="0" borderId="1" xfId="10" applyFont="1" applyFill="1" applyBorder="1" applyAlignment="1">
      <alignment horizontal="center"/>
    </xf>
    <xf numFmtId="49" fontId="22" fillId="0" borderId="1" xfId="10" applyNumberFormat="1" applyFont="1" applyFill="1" applyBorder="1" applyAlignment="1">
      <alignment wrapText="1"/>
    </xf>
    <xf numFmtId="49" fontId="21" fillId="0" borderId="1" xfId="10" applyNumberFormat="1" applyFont="1" applyFill="1" applyBorder="1" applyAlignment="1">
      <alignment vertical="top" wrapText="1"/>
    </xf>
    <xf numFmtId="0" fontId="23" fillId="0" borderId="1" xfId="10" applyFont="1" applyFill="1" applyBorder="1" applyAlignment="1">
      <alignment vertical="center" wrapText="1"/>
    </xf>
    <xf numFmtId="4" fontId="21" fillId="0" borderId="0" xfId="10" applyNumberFormat="1" applyFont="1" applyFill="1" applyBorder="1" applyAlignment="1">
      <alignment vertical="center"/>
    </xf>
    <xf numFmtId="1" fontId="22" fillId="0" borderId="1" xfId="10" applyNumberFormat="1" applyFont="1" applyFill="1" applyBorder="1" applyAlignment="1">
      <alignment wrapText="1"/>
    </xf>
    <xf numFmtId="1" fontId="22" fillId="0" borderId="1" xfId="10" applyNumberFormat="1" applyFont="1" applyFill="1" applyBorder="1" applyAlignment="1">
      <alignment horizontal="left" vertical="center" wrapText="1"/>
    </xf>
    <xf numFmtId="1" fontId="21" fillId="0" borderId="1" xfId="10" applyNumberFormat="1" applyFont="1" applyFill="1" applyBorder="1" applyAlignment="1">
      <alignment horizontal="left" vertical="center" wrapText="1"/>
    </xf>
    <xf numFmtId="1" fontId="22" fillId="0" borderId="1" xfId="10" applyNumberFormat="1" applyFont="1" applyFill="1" applyBorder="1" applyAlignment="1">
      <alignment horizontal="left" wrapText="1"/>
    </xf>
    <xf numFmtId="0" fontId="21" fillId="0" borderId="1" xfId="10" applyFont="1" applyFill="1" applyBorder="1" applyAlignment="1">
      <alignment wrapText="1"/>
    </xf>
    <xf numFmtId="0" fontId="11" fillId="0" borderId="1" xfId="11" applyFont="1" applyFill="1" applyBorder="1" applyAlignment="1">
      <alignment horizontal="justify" vertical="top" wrapText="1"/>
    </xf>
    <xf numFmtId="0" fontId="11" fillId="0" borderId="1" xfId="0" applyFont="1" applyFill="1" applyBorder="1" applyAlignment="1">
      <alignment horizontal="justify" vertical="top" wrapText="1"/>
    </xf>
    <xf numFmtId="0" fontId="22" fillId="0" borderId="0" xfId="10" applyFont="1" applyFill="1" applyBorder="1" applyAlignment="1">
      <alignment horizontal="center"/>
    </xf>
    <xf numFmtId="0" fontId="22" fillId="0" borderId="0" xfId="10" applyFont="1" applyFill="1" applyAlignment="1">
      <alignment horizontal="center"/>
    </xf>
    <xf numFmtId="0" fontId="22" fillId="0" borderId="1" xfId="10" applyFont="1" applyFill="1" applyBorder="1" applyAlignment="1">
      <alignment vertical="top" wrapText="1"/>
    </xf>
    <xf numFmtId="4" fontId="21" fillId="0" borderId="1" xfId="10" applyNumberFormat="1" applyFont="1" applyFill="1" applyBorder="1" applyAlignment="1">
      <alignment wrapText="1"/>
    </xf>
    <xf numFmtId="4" fontId="21" fillId="0" borderId="1" xfId="10" applyNumberFormat="1" applyFont="1" applyFill="1" applyBorder="1" applyAlignment="1">
      <alignment horizontal="right" wrapText="1"/>
    </xf>
    <xf numFmtId="49" fontId="23" fillId="0" borderId="1" xfId="10" applyNumberFormat="1" applyFont="1" applyFill="1" applyBorder="1" applyAlignment="1">
      <alignment horizontal="center" wrapText="1"/>
    </xf>
    <xf numFmtId="49" fontId="23" fillId="0" borderId="1" xfId="10" applyNumberFormat="1" applyFont="1" applyFill="1" applyBorder="1" applyAlignment="1">
      <alignment horizontal="left" wrapText="1" indent="1"/>
    </xf>
    <xf numFmtId="49" fontId="23" fillId="0" borderId="1" xfId="1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justify" vertical="center" wrapText="1"/>
    </xf>
    <xf numFmtId="4" fontId="22" fillId="0" borderId="1" xfId="10" applyNumberFormat="1" applyFont="1" applyFill="1" applyBorder="1" applyAlignment="1" applyProtection="1">
      <protection locked="0"/>
    </xf>
    <xf numFmtId="4" fontId="22" fillId="0" borderId="1" xfId="10" applyNumberFormat="1" applyFont="1" applyFill="1" applyBorder="1" applyAlignment="1" applyProtection="1">
      <alignment horizontal="right"/>
      <protection locked="0"/>
    </xf>
    <xf numFmtId="0" fontId="15" fillId="0" borderId="0" xfId="10" applyFont="1" applyFill="1" applyAlignment="1">
      <alignment horizontal="center"/>
    </xf>
    <xf numFmtId="4" fontId="15" fillId="0" borderId="0" xfId="10" applyNumberFormat="1" applyFont="1" applyFill="1" applyAlignment="1"/>
    <xf numFmtId="4" fontId="26" fillId="0" borderId="0" xfId="10" applyNumberFormat="1" applyFont="1" applyFill="1" applyAlignment="1"/>
    <xf numFmtId="4" fontId="15" fillId="0" borderId="0" xfId="10" applyNumberFormat="1" applyFont="1" applyFill="1" applyAlignment="1">
      <alignment horizontal="right"/>
    </xf>
    <xf numFmtId="4" fontId="16" fillId="0" borderId="0" xfId="10" applyNumberFormat="1" applyFont="1" applyFill="1" applyAlignment="1">
      <alignment horizontal="center"/>
    </xf>
    <xf numFmtId="4" fontId="15" fillId="0" borderId="0" xfId="10" applyNumberFormat="1" applyFont="1" applyFill="1" applyAlignment="1">
      <alignment horizontal="center"/>
    </xf>
    <xf numFmtId="4" fontId="26" fillId="0" borderId="0" xfId="10" applyNumberFormat="1" applyFont="1" applyFill="1" applyAlignment="1">
      <alignment horizontal="center"/>
    </xf>
    <xf numFmtId="0" fontId="16" fillId="0" borderId="0" xfId="10" applyFont="1" applyFill="1" applyAlignment="1">
      <alignment horizontal="right"/>
    </xf>
    <xf numFmtId="4" fontId="22" fillId="0" borderId="0" xfId="10" applyNumberFormat="1" applyFont="1" applyFill="1" applyAlignment="1">
      <alignment horizontal="right"/>
    </xf>
    <xf numFmtId="4" fontId="16" fillId="0" borderId="0" xfId="10" applyNumberFormat="1" applyFont="1" applyFill="1" applyAlignment="1">
      <alignment horizontal="center" vertical="center"/>
    </xf>
    <xf numFmtId="0" fontId="27" fillId="0" borderId="0" xfId="10" applyFont="1" applyFill="1" applyAlignment="1"/>
    <xf numFmtId="4" fontId="20" fillId="0" borderId="0" xfId="10" applyNumberFormat="1" applyFont="1" applyFill="1" applyAlignment="1">
      <alignment horizontal="center" vertical="center"/>
    </xf>
    <xf numFmtId="0" fontId="20" fillId="0" borderId="0" xfId="10" applyFont="1" applyFill="1" applyAlignment="1"/>
    <xf numFmtId="4" fontId="28" fillId="0" borderId="0" xfId="10" applyNumberFormat="1" applyFont="1" applyFill="1" applyAlignment="1">
      <alignment horizontal="right"/>
    </xf>
    <xf numFmtId="0" fontId="4" fillId="0" borderId="0" xfId="10" applyFont="1" applyFill="1" applyAlignment="1"/>
    <xf numFmtId="4" fontId="29" fillId="0" borderId="0" xfId="10" applyNumberFormat="1" applyFont="1" applyFill="1" applyAlignment="1">
      <alignment horizontal="center" vertical="center"/>
    </xf>
    <xf numFmtId="0" fontId="30" fillId="0" borderId="0" xfId="10" applyFont="1" applyFill="1" applyAlignment="1"/>
    <xf numFmtId="4" fontId="30" fillId="0" borderId="0" xfId="10" applyNumberFormat="1" applyFont="1" applyFill="1" applyAlignment="1">
      <alignment horizontal="right"/>
    </xf>
    <xf numFmtId="4" fontId="31" fillId="0" borderId="0" xfId="10" applyNumberFormat="1" applyFont="1" applyFill="1" applyAlignment="1">
      <alignment horizontal="center"/>
    </xf>
    <xf numFmtId="0" fontId="31" fillId="0" borderId="0" xfId="10" applyFont="1" applyFill="1" applyAlignment="1">
      <alignment horizontal="center"/>
    </xf>
    <xf numFmtId="4" fontId="22" fillId="0" borderId="0" xfId="10" applyNumberFormat="1" applyFont="1" applyFill="1" applyAlignment="1"/>
    <xf numFmtId="0" fontId="22" fillId="0" borderId="0" xfId="10" applyFont="1" applyFill="1" applyAlignment="1">
      <alignment horizontal="right"/>
    </xf>
    <xf numFmtId="4" fontId="32" fillId="0" borderId="0" xfId="10" applyNumberFormat="1" applyFont="1" applyFill="1" applyAlignment="1"/>
    <xf numFmtId="0" fontId="21" fillId="0" borderId="0" xfId="10" applyFont="1" applyFill="1" applyAlignment="1">
      <alignment horizontal="right"/>
    </xf>
    <xf numFmtId="4" fontId="21" fillId="0" borderId="0" xfId="10" applyNumberFormat="1" applyFont="1" applyFill="1" applyAlignment="1"/>
    <xf numFmtId="0" fontId="16" fillId="0" borderId="0" xfId="10" applyFont="1" applyFill="1" applyAlignment="1">
      <alignment horizontal="left"/>
    </xf>
    <xf numFmtId="0" fontId="16" fillId="0" borderId="0" xfId="10" applyFont="1" applyFill="1" applyBorder="1" applyAlignment="1">
      <alignment horizontal="left"/>
    </xf>
    <xf numFmtId="0" fontId="15" fillId="0" borderId="0" xfId="10" applyFont="1" applyFill="1" applyBorder="1" applyAlignment="1">
      <alignment horizontal="center"/>
    </xf>
    <xf numFmtId="0" fontId="16" fillId="0" borderId="0" xfId="10" applyFont="1" applyFill="1" applyBorder="1" applyAlignment="1">
      <alignment horizontal="center"/>
    </xf>
    <xf numFmtId="4" fontId="15" fillId="0" borderId="0" xfId="10" applyNumberFormat="1" applyFont="1" applyFill="1" applyBorder="1" applyAlignment="1">
      <alignment horizontal="right"/>
    </xf>
    <xf numFmtId="0" fontId="15" fillId="0" borderId="0" xfId="10" applyFont="1" applyFill="1" applyAlignment="1">
      <alignment horizontal="left" wrapText="1"/>
    </xf>
    <xf numFmtId="2" fontId="15" fillId="0" borderId="0" xfId="10" applyNumberFormat="1" applyFont="1" applyFill="1" applyAlignment="1"/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Alignment="1"/>
    <xf numFmtId="4" fontId="34" fillId="0" borderId="0" xfId="0" applyNumberFormat="1" applyFont="1" applyFill="1" applyAlignment="1">
      <alignment horizontal="right" vertical="center"/>
    </xf>
    <xf numFmtId="0" fontId="35" fillId="0" borderId="0" xfId="0" applyFont="1" applyFill="1" applyAlignment="1">
      <alignment horizontal="center"/>
    </xf>
    <xf numFmtId="0" fontId="35" fillId="0" borderId="0" xfId="0" applyFont="1" applyFill="1" applyAlignment="1"/>
    <xf numFmtId="0" fontId="34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4" fontId="35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/>
    </xf>
    <xf numFmtId="4" fontId="35" fillId="0" borderId="1" xfId="0" applyNumberFormat="1" applyFont="1" applyFill="1" applyBorder="1" applyAlignment="1">
      <alignment vertical="center" wrapText="1"/>
    </xf>
    <xf numFmtId="4" fontId="35" fillId="0" borderId="0" xfId="0" applyNumberFormat="1" applyFont="1" applyFill="1" applyAlignment="1">
      <alignment horizontal="right" vertical="center"/>
    </xf>
    <xf numFmtId="49" fontId="34" fillId="0" borderId="1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justify" vertical="center" wrapText="1"/>
    </xf>
    <xf numFmtId="4" fontId="34" fillId="0" borderId="1" xfId="6" applyNumberFormat="1" applyFont="1" applyFill="1" applyBorder="1" applyAlignment="1">
      <alignment vertical="center" wrapText="1"/>
    </xf>
    <xf numFmtId="4" fontId="34" fillId="3" borderId="1" xfId="0" applyNumberFormat="1" applyFont="1" applyFill="1" applyBorder="1" applyAlignment="1">
      <alignment vertical="center" wrapText="1"/>
    </xf>
    <xf numFmtId="4" fontId="34" fillId="0" borderId="1" xfId="0" applyNumberFormat="1" applyFont="1" applyFill="1" applyBorder="1" applyAlignment="1">
      <alignment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justify" vertical="center" wrapText="1"/>
    </xf>
    <xf numFmtId="4" fontId="35" fillId="0" borderId="1" xfId="6" applyNumberFormat="1" applyFont="1" applyFill="1" applyBorder="1" applyAlignment="1">
      <alignment vertical="center" wrapText="1"/>
    </xf>
    <xf numFmtId="0" fontId="35" fillId="0" borderId="1" xfId="0" applyFont="1" applyFill="1" applyBorder="1" applyAlignment="1">
      <alignment horizontal="left" vertical="center" wrapText="1"/>
    </xf>
    <xf numFmtId="4" fontId="35" fillId="0" borderId="1" xfId="0" applyNumberFormat="1" applyFont="1" applyFill="1" applyBorder="1" applyAlignment="1">
      <alignment horizontal="right" vertical="center" wrapText="1"/>
    </xf>
    <xf numFmtId="3" fontId="35" fillId="0" borderId="1" xfId="0" applyNumberFormat="1" applyFont="1" applyFill="1" applyBorder="1" applyAlignment="1">
      <alignment horizontal="justify" vertical="top" wrapText="1"/>
    </xf>
    <xf numFmtId="3" fontId="34" fillId="0" borderId="1" xfId="0" applyNumberFormat="1" applyFont="1" applyFill="1" applyBorder="1" applyAlignment="1">
      <alignment horizontal="justify" vertical="top" wrapText="1"/>
    </xf>
    <xf numFmtId="4" fontId="34" fillId="3" borderId="1" xfId="6" applyNumberFormat="1" applyFont="1" applyFill="1" applyBorder="1" applyAlignment="1">
      <alignment vertical="center" wrapText="1"/>
    </xf>
    <xf numFmtId="4" fontId="34" fillId="0" borderId="1" xfId="0" applyNumberFormat="1" applyFont="1" applyFill="1" applyBorder="1" applyAlignment="1">
      <alignment horizontal="right" vertical="center"/>
    </xf>
    <xf numFmtId="0" fontId="35" fillId="0" borderId="1" xfId="0" applyFont="1" applyFill="1" applyBorder="1" applyAlignment="1">
      <alignment horizontal="justify" vertical="top" wrapText="1"/>
    </xf>
    <xf numFmtId="4" fontId="35" fillId="0" borderId="1" xfId="0" applyNumberFormat="1" applyFont="1" applyFill="1" applyBorder="1" applyAlignment="1">
      <alignment horizontal="right" vertical="center"/>
    </xf>
    <xf numFmtId="0" fontId="34" fillId="0" borderId="1" xfId="0" applyFont="1" applyFill="1" applyBorder="1" applyAlignment="1">
      <alignment horizontal="justify" vertical="top" wrapText="1"/>
    </xf>
    <xf numFmtId="49" fontId="34" fillId="0" borderId="0" xfId="0" applyNumberFormat="1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justify" vertical="top" wrapText="1"/>
    </xf>
    <xf numFmtId="4" fontId="34" fillId="0" borderId="0" xfId="6" applyNumberFormat="1" applyFont="1" applyFill="1" applyBorder="1" applyAlignment="1">
      <alignment vertical="center" wrapText="1"/>
    </xf>
    <xf numFmtId="4" fontId="34" fillId="0" borderId="0" xfId="0" applyNumberFormat="1" applyFont="1" applyFill="1" applyBorder="1" applyAlignment="1">
      <alignment horizontal="right" vertical="center"/>
    </xf>
    <xf numFmtId="4" fontId="35" fillId="0" borderId="1" xfId="0" applyNumberFormat="1" applyFont="1" applyFill="1" applyBorder="1" applyAlignment="1">
      <alignment vertical="center"/>
    </xf>
    <xf numFmtId="0" fontId="35" fillId="0" borderId="1" xfId="0" applyFont="1" applyFill="1" applyBorder="1" applyAlignment="1">
      <alignment horizontal="justify"/>
    </xf>
    <xf numFmtId="0" fontId="35" fillId="0" borderId="1" xfId="0" applyFont="1" applyFill="1" applyBorder="1" applyAlignment="1"/>
    <xf numFmtId="4" fontId="35" fillId="0" borderId="1" xfId="0" applyNumberFormat="1" applyFont="1" applyFill="1" applyBorder="1" applyAlignment="1"/>
    <xf numFmtId="4" fontId="34" fillId="0" borderId="0" xfId="0" applyNumberFormat="1" applyFont="1" applyFill="1" applyAlignment="1"/>
    <xf numFmtId="0" fontId="20" fillId="0" borderId="0" xfId="0" applyFont="1" applyFill="1" applyBorder="1" applyAlignment="1">
      <alignment horizontal="center" vertical="center" wrapText="1"/>
    </xf>
    <xf numFmtId="4" fontId="36" fillId="0" borderId="1" xfId="10" applyNumberFormat="1" applyFont="1" applyFill="1" applyBorder="1" applyAlignment="1">
      <alignment horizontal="right"/>
    </xf>
    <xf numFmtId="0" fontId="21" fillId="0" borderId="9" xfId="0" applyFont="1" applyFill="1" applyBorder="1" applyAlignment="1">
      <alignment horizontal="center" vertical="top" wrapText="1"/>
    </xf>
    <xf numFmtId="0" fontId="21" fillId="0" borderId="9" xfId="0" applyFont="1" applyFill="1" applyBorder="1" applyAlignment="1">
      <alignment horizontal="left" vertical="top" wrapText="1"/>
    </xf>
    <xf numFmtId="49" fontId="21" fillId="0" borderId="1" xfId="10" applyNumberFormat="1" applyFont="1" applyFill="1" applyBorder="1" applyAlignment="1">
      <alignment vertical="center"/>
    </xf>
    <xf numFmtId="4" fontId="37" fillId="0" borderId="1" xfId="10" applyNumberFormat="1" applyFont="1" applyFill="1" applyBorder="1" applyAlignment="1">
      <alignment horizontal="right"/>
    </xf>
    <xf numFmtId="4" fontId="27" fillId="0" borderId="3" xfId="1" applyNumberFormat="1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/>
    <xf numFmtId="0" fontId="38" fillId="0" borderId="0" xfId="0" applyFont="1" applyFill="1" applyAlignment="1"/>
    <xf numFmtId="4" fontId="38" fillId="0" borderId="0" xfId="0" applyNumberFormat="1" applyFont="1" applyFill="1" applyAlignment="1"/>
    <xf numFmtId="4" fontId="17" fillId="0" borderId="0" xfId="0" applyNumberFormat="1" applyFont="1" applyFill="1" applyAlignment="1"/>
    <xf numFmtId="0" fontId="19" fillId="0" borderId="0" xfId="0" applyFont="1" applyFill="1" applyBorder="1" applyAlignment="1">
      <alignment horizontal="right" wrapText="1"/>
    </xf>
    <xf numFmtId="0" fontId="39" fillId="0" borderId="0" xfId="0" applyFont="1" applyFill="1" applyAlignment="1"/>
    <xf numFmtId="0" fontId="39" fillId="0" borderId="0" xfId="0" applyFont="1" applyFill="1" applyAlignment="1">
      <alignment horizontal="right"/>
    </xf>
    <xf numFmtId="0" fontId="38" fillId="0" borderId="0" xfId="0" applyFont="1" applyFill="1" applyAlignment="1">
      <alignment horizontal="right"/>
    </xf>
    <xf numFmtId="0" fontId="40" fillId="0" borderId="10" xfId="0" applyFont="1" applyFill="1" applyBorder="1" applyAlignment="1">
      <alignment horizontal="center" vertical="center"/>
    </xf>
    <xf numFmtId="4" fontId="40" fillId="0" borderId="1" xfId="0" applyNumberFormat="1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0" xfId="0" applyFont="1" applyFill="1" applyAlignment="1"/>
    <xf numFmtId="49" fontId="40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" fontId="40" fillId="0" borderId="1" xfId="0" applyNumberFormat="1" applyFont="1" applyFill="1" applyBorder="1" applyAlignment="1"/>
    <xf numFmtId="4" fontId="40" fillId="0" borderId="1" xfId="0" applyNumberFormat="1" applyFont="1" applyFill="1" applyBorder="1" applyAlignment="1">
      <alignment horizontal="center"/>
    </xf>
    <xf numFmtId="4" fontId="42" fillId="0" borderId="0" xfId="0" applyNumberFormat="1" applyFont="1" applyFill="1" applyAlignment="1"/>
    <xf numFmtId="4" fontId="43" fillId="0" borderId="1" xfId="0" applyNumberFormat="1" applyFont="1" applyFill="1" applyBorder="1" applyAlignment="1"/>
    <xf numFmtId="0" fontId="43" fillId="0" borderId="1" xfId="0" applyFont="1" applyFill="1" applyBorder="1" applyAlignment="1"/>
    <xf numFmtId="2" fontId="43" fillId="0" borderId="1" xfId="0" applyNumberFormat="1" applyFont="1" applyFill="1" applyBorder="1" applyAlignment="1"/>
    <xf numFmtId="4" fontId="43" fillId="0" borderId="0" xfId="0" applyNumberFormat="1" applyFont="1" applyFill="1" applyAlignment="1"/>
    <xf numFmtId="4" fontId="40" fillId="0" borderId="1" xfId="0" applyNumberFormat="1" applyFont="1" applyFill="1" applyBorder="1" applyAlignment="1">
      <alignment horizontal="center" vertical="center"/>
    </xf>
    <xf numFmtId="49" fontId="41" fillId="0" borderId="1" xfId="0" applyNumberFormat="1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left" vertical="center" wrapText="1"/>
    </xf>
    <xf numFmtId="4" fontId="41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/>
    <xf numFmtId="2" fontId="40" fillId="0" borderId="1" xfId="0" applyNumberFormat="1" applyFont="1" applyFill="1" applyBorder="1" applyAlignment="1"/>
    <xf numFmtId="4" fontId="40" fillId="0" borderId="0" xfId="0" applyNumberFormat="1" applyFont="1" applyFill="1" applyAlignment="1"/>
    <xf numFmtId="49" fontId="43" fillId="0" borderId="1" xfId="0" applyNumberFormat="1" applyFont="1" applyFill="1" applyBorder="1" applyAlignment="1">
      <alignment horizontal="center" vertical="center"/>
    </xf>
    <xf numFmtId="4" fontId="43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/>
    <xf numFmtId="0" fontId="17" fillId="0" borderId="1" xfId="0" applyFont="1" applyFill="1" applyBorder="1" applyAlignment="1"/>
    <xf numFmtId="2" fontId="17" fillId="0" borderId="1" xfId="0" applyNumberFormat="1" applyFont="1" applyFill="1" applyBorder="1" applyAlignment="1"/>
    <xf numFmtId="4" fontId="17" fillId="0" borderId="1" xfId="0" applyNumberFormat="1" applyFont="1" applyFill="1" applyBorder="1" applyAlignment="1">
      <alignment horizontal="center" vertical="center"/>
    </xf>
    <xf numFmtId="2" fontId="38" fillId="0" borderId="0" xfId="0" applyNumberFormat="1" applyFont="1" applyFill="1" applyAlignment="1"/>
    <xf numFmtId="0" fontId="44" fillId="0" borderId="0" xfId="0" applyFont="1" applyFill="1" applyAlignment="1"/>
    <xf numFmtId="49" fontId="40" fillId="0" borderId="10" xfId="0" applyNumberFormat="1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left" vertical="center" wrapText="1"/>
    </xf>
    <xf numFmtId="4" fontId="40" fillId="0" borderId="10" xfId="0" applyNumberFormat="1" applyFont="1" applyFill="1" applyBorder="1" applyAlignment="1"/>
    <xf numFmtId="0" fontId="40" fillId="0" borderId="10" xfId="0" applyFont="1" applyFill="1" applyBorder="1" applyAlignment="1"/>
    <xf numFmtId="4" fontId="40" fillId="0" borderId="10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4" fontId="41" fillId="0" borderId="1" xfId="0" applyNumberFormat="1" applyFont="1" applyFill="1" applyBorder="1" applyAlignment="1"/>
    <xf numFmtId="0" fontId="41" fillId="0" borderId="1" xfId="0" applyFont="1" applyFill="1" applyBorder="1" applyAlignment="1"/>
    <xf numFmtId="4" fontId="38" fillId="0" borderId="1" xfId="0" applyNumberFormat="1" applyFont="1" applyFill="1" applyBorder="1" applyAlignment="1"/>
    <xf numFmtId="0" fontId="42" fillId="0" borderId="1" xfId="0" applyFont="1" applyFill="1" applyBorder="1" applyAlignment="1"/>
    <xf numFmtId="4" fontId="28" fillId="0" borderId="1" xfId="0" applyNumberFormat="1" applyFont="1" applyFill="1" applyBorder="1" applyAlignment="1"/>
    <xf numFmtId="4" fontId="19" fillId="0" borderId="1" xfId="0" applyNumberFormat="1" applyFont="1" applyFill="1" applyBorder="1" applyAlignment="1"/>
    <xf numFmtId="49" fontId="38" fillId="0" borderId="1" xfId="0" applyNumberFormat="1" applyFont="1" applyFill="1" applyBorder="1" applyAlignment="1"/>
    <xf numFmtId="0" fontId="38" fillId="0" borderId="1" xfId="0" applyFont="1" applyFill="1" applyBorder="1" applyAlignment="1"/>
    <xf numFmtId="49" fontId="0" fillId="0" borderId="0" xfId="0" applyNumberFormat="1" applyAlignment="1"/>
    <xf numFmtId="0" fontId="0" fillId="0" borderId="0" xfId="0" applyAlignment="1"/>
    <xf numFmtId="0" fontId="17" fillId="6" borderId="0" xfId="0" applyFont="1" applyFill="1" applyBorder="1" applyAlignment="1">
      <alignment horizontal="right" vertical="center"/>
    </xf>
    <xf numFmtId="0" fontId="17" fillId="6" borderId="0" xfId="0" applyFont="1" applyFill="1" applyBorder="1" applyAlignment="1">
      <alignment vertical="center"/>
    </xf>
    <xf numFmtId="0" fontId="17" fillId="4" borderId="0" xfId="0" applyFont="1" applyFill="1" applyAlignment="1">
      <alignment horizontal="right"/>
    </xf>
    <xf numFmtId="0" fontId="17" fillId="6" borderId="0" xfId="0" applyFont="1" applyFill="1" applyAlignment="1">
      <alignment horizontal="right" vertical="center"/>
    </xf>
    <xf numFmtId="0" fontId="17" fillId="4" borderId="0" xfId="0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17" fillId="4" borderId="0" xfId="0" applyFont="1" applyFill="1" applyBorder="1" applyAlignment="1">
      <alignment horizontal="left"/>
    </xf>
    <xf numFmtId="0" fontId="45" fillId="4" borderId="0" xfId="0" applyFont="1" applyFill="1" applyAlignment="1"/>
    <xf numFmtId="0" fontId="47" fillId="0" borderId="0" xfId="0" applyFont="1" applyAlignment="1"/>
    <xf numFmtId="0" fontId="48" fillId="0" borderId="0" xfId="0" applyFont="1" applyAlignment="1"/>
    <xf numFmtId="0" fontId="47" fillId="0" borderId="0" xfId="0" applyFont="1" applyAlignment="1">
      <alignment horizontal="right"/>
    </xf>
    <xf numFmtId="0" fontId="48" fillId="0" borderId="0" xfId="0" applyFont="1" applyAlignment="1">
      <alignment horizontal="right"/>
    </xf>
    <xf numFmtId="0" fontId="49" fillId="0" borderId="10" xfId="0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 wrapText="1"/>
    </xf>
    <xf numFmtId="0" fontId="50" fillId="0" borderId="0" xfId="0" applyFont="1" applyAlignment="1"/>
    <xf numFmtId="4" fontId="50" fillId="0" borderId="0" xfId="0" applyNumberFormat="1" applyFont="1" applyAlignment="1"/>
    <xf numFmtId="49" fontId="49" fillId="7" borderId="1" xfId="0" applyNumberFormat="1" applyFont="1" applyFill="1" applyBorder="1" applyAlignment="1">
      <alignment horizontal="center" vertical="center"/>
    </xf>
    <xf numFmtId="0" fontId="49" fillId="7" borderId="1" xfId="0" applyFont="1" applyFill="1" applyBorder="1" applyAlignment="1">
      <alignment horizontal="left" vertical="center" wrapText="1"/>
    </xf>
    <xf numFmtId="4" fontId="40" fillId="7" borderId="1" xfId="0" applyNumberFormat="1" applyFont="1" applyFill="1" applyBorder="1" applyAlignment="1"/>
    <xf numFmtId="4" fontId="51" fillId="0" borderId="0" xfId="0" applyNumberFormat="1" applyFont="1" applyAlignment="1"/>
    <xf numFmtId="49" fontId="52" fillId="8" borderId="1" xfId="0" applyNumberFormat="1" applyFont="1" applyFill="1" applyBorder="1" applyAlignment="1">
      <alignment horizontal="center" vertical="center"/>
    </xf>
    <xf numFmtId="49" fontId="49" fillId="8" borderId="1" xfId="0" applyNumberFormat="1" applyFont="1" applyFill="1" applyBorder="1" applyAlignment="1">
      <alignment horizontal="center" vertical="center"/>
    </xf>
    <xf numFmtId="0" fontId="49" fillId="8" borderId="1" xfId="0" applyFont="1" applyFill="1" applyBorder="1" applyAlignment="1">
      <alignment horizontal="left" vertical="center" wrapText="1"/>
    </xf>
    <xf numFmtId="4" fontId="40" fillId="8" borderId="1" xfId="0" applyNumberFormat="1" applyFont="1" applyFill="1" applyBorder="1" applyAlignment="1">
      <alignment vertical="center"/>
    </xf>
    <xf numFmtId="4" fontId="53" fillId="0" borderId="0" xfId="0" applyNumberFormat="1" applyFont="1" applyAlignment="1"/>
    <xf numFmtId="0" fontId="53" fillId="0" borderId="0" xfId="0" applyFont="1" applyAlignment="1"/>
    <xf numFmtId="49" fontId="54" fillId="0" borderId="1" xfId="0" applyNumberFormat="1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left" vertical="center" wrapText="1"/>
    </xf>
    <xf numFmtId="4" fontId="0" fillId="0" borderId="0" xfId="0" applyNumberFormat="1" applyFont="1" applyAlignment="1"/>
    <xf numFmtId="0" fontId="0" fillId="0" borderId="0" xfId="0" applyFont="1" applyAlignment="1"/>
    <xf numFmtId="49" fontId="49" fillId="9" borderId="1" xfId="0" applyNumberFormat="1" applyFont="1" applyFill="1" applyBorder="1" applyAlignment="1">
      <alignment horizontal="center" vertical="center"/>
    </xf>
    <xf numFmtId="0" fontId="49" fillId="9" borderId="1" xfId="0" applyFont="1" applyFill="1" applyBorder="1" applyAlignment="1">
      <alignment horizontal="left" vertical="center" wrapText="1"/>
    </xf>
    <xf numFmtId="4" fontId="40" fillId="9" borderId="1" xfId="0" applyNumberFormat="1" applyFont="1" applyFill="1" applyBorder="1" applyAlignment="1">
      <alignment vertical="center"/>
    </xf>
    <xf numFmtId="4" fontId="0" fillId="0" borderId="0" xfId="0" applyNumberFormat="1" applyAlignment="1"/>
    <xf numFmtId="0" fontId="55" fillId="0" borderId="0" xfId="0" applyFont="1" applyAlignment="1"/>
    <xf numFmtId="0" fontId="0" fillId="0" borderId="0" xfId="0" applyFont="1" applyFill="1" applyAlignment="1"/>
    <xf numFmtId="0" fontId="49" fillId="8" borderId="1" xfId="0" applyFont="1" applyFill="1" applyBorder="1" applyAlignment="1">
      <alignment vertical="center" wrapText="1"/>
    </xf>
    <xf numFmtId="4" fontId="40" fillId="8" borderId="1" xfId="0" applyNumberFormat="1" applyFont="1" applyFill="1" applyBorder="1" applyAlignment="1"/>
    <xf numFmtId="4" fontId="40" fillId="9" borderId="1" xfId="0" applyNumberFormat="1" applyFont="1" applyFill="1" applyBorder="1" applyAlignment="1"/>
    <xf numFmtId="49" fontId="56" fillId="4" borderId="1" xfId="0" applyNumberFormat="1" applyFont="1" applyFill="1" applyBorder="1" applyAlignment="1">
      <alignment horizontal="center" vertical="center"/>
    </xf>
    <xf numFmtId="0" fontId="54" fillId="4" borderId="1" xfId="0" applyFont="1" applyFill="1" applyBorder="1" applyAlignment="1">
      <alignment horizontal="left" vertical="center" wrapText="1"/>
    </xf>
    <xf numFmtId="0" fontId="53" fillId="0" borderId="0" xfId="0" applyFont="1" applyAlignment="1">
      <alignment vertical="center"/>
    </xf>
    <xf numFmtId="4" fontId="53" fillId="4" borderId="0" xfId="0" applyNumberFormat="1" applyFont="1" applyFill="1" applyAlignment="1"/>
    <xf numFmtId="0" fontId="0" fillId="4" borderId="0" xfId="0" applyFont="1" applyFill="1" applyAlignment="1"/>
    <xf numFmtId="4" fontId="0" fillId="4" borderId="0" xfId="0" applyNumberFormat="1" applyFont="1" applyFill="1" applyAlignment="1"/>
    <xf numFmtId="4" fontId="0" fillId="4" borderId="0" xfId="0" applyNumberFormat="1" applyFill="1" applyAlignment="1"/>
    <xf numFmtId="49" fontId="54" fillId="4" borderId="1" xfId="0" applyNumberFormat="1" applyFont="1" applyFill="1" applyBorder="1" applyAlignment="1">
      <alignment horizontal="center" vertical="center"/>
    </xf>
    <xf numFmtId="49" fontId="54" fillId="4" borderId="2" xfId="0" applyNumberFormat="1" applyFont="1" applyFill="1" applyBorder="1" applyAlignment="1">
      <alignment horizontal="center" vertical="center"/>
    </xf>
    <xf numFmtId="0" fontId="41" fillId="0" borderId="1" xfId="10" applyFont="1" applyFill="1" applyBorder="1" applyAlignment="1">
      <alignment vertical="center" wrapText="1"/>
    </xf>
    <xf numFmtId="49" fontId="52" fillId="4" borderId="1" xfId="0" applyNumberFormat="1" applyFont="1" applyFill="1" applyBorder="1" applyAlignment="1">
      <alignment horizontal="center" vertical="center"/>
    </xf>
    <xf numFmtId="49" fontId="52" fillId="4" borderId="2" xfId="0" applyNumberFormat="1" applyFont="1" applyFill="1" applyBorder="1" applyAlignment="1">
      <alignment horizontal="center" vertical="center"/>
    </xf>
    <xf numFmtId="0" fontId="43" fillId="0" borderId="1" xfId="10" applyFont="1" applyFill="1" applyBorder="1" applyAlignment="1">
      <alignment vertical="center" wrapText="1"/>
    </xf>
    <xf numFmtId="0" fontId="0" fillId="4" borderId="0" xfId="0" applyFill="1" applyAlignment="1"/>
    <xf numFmtId="49" fontId="52" fillId="9" borderId="1" xfId="0" applyNumberFormat="1" applyFont="1" applyFill="1" applyBorder="1" applyAlignment="1">
      <alignment horizontal="center" vertical="center"/>
    </xf>
    <xf numFmtId="0" fontId="49" fillId="9" borderId="1" xfId="0" applyFont="1" applyFill="1" applyBorder="1" applyAlignment="1">
      <alignment vertical="center" wrapText="1"/>
    </xf>
    <xf numFmtId="0" fontId="54" fillId="0" borderId="1" xfId="0" applyFont="1" applyBorder="1" applyAlignment="1">
      <alignment vertical="center" wrapText="1"/>
    </xf>
    <xf numFmtId="4" fontId="41" fillId="4" borderId="1" xfId="0" applyNumberFormat="1" applyFont="1" applyFill="1" applyBorder="1" applyAlignment="1"/>
    <xf numFmtId="49" fontId="52" fillId="8" borderId="2" xfId="0" applyNumberFormat="1" applyFont="1" applyFill="1" applyBorder="1" applyAlignment="1">
      <alignment horizontal="center" vertical="center"/>
    </xf>
    <xf numFmtId="0" fontId="41" fillId="6" borderId="1" xfId="10" applyFont="1" applyFill="1" applyBorder="1" applyAlignment="1">
      <alignment vertical="center" wrapText="1"/>
    </xf>
    <xf numFmtId="0" fontId="49" fillId="9" borderId="1" xfId="0" applyFont="1" applyFill="1" applyBorder="1" applyAlignment="1">
      <alignment vertical="center"/>
    </xf>
    <xf numFmtId="49" fontId="56" fillId="0" borderId="1" xfId="0" applyNumberFormat="1" applyFont="1" applyFill="1" applyBorder="1" applyAlignment="1">
      <alignment horizontal="center" vertical="center"/>
    </xf>
    <xf numFmtId="4" fontId="41" fillId="0" borderId="1" xfId="0" applyNumberFormat="1" applyFont="1" applyBorder="1" applyAlignment="1"/>
    <xf numFmtId="0" fontId="57" fillId="0" borderId="0" xfId="0" applyFont="1" applyAlignment="1"/>
    <xf numFmtId="0" fontId="54" fillId="0" borderId="1" xfId="0" applyFont="1" applyBorder="1" applyAlignment="1">
      <alignment wrapText="1"/>
    </xf>
    <xf numFmtId="49" fontId="40" fillId="9" borderId="1" xfId="0" applyNumberFormat="1" applyFont="1" applyFill="1" applyBorder="1" applyAlignment="1">
      <alignment horizontal="center" vertical="center"/>
    </xf>
    <xf numFmtId="0" fontId="40" fillId="9" borderId="1" xfId="0" applyFont="1" applyFill="1" applyBorder="1" applyAlignment="1">
      <alignment horizontal="left" vertical="center" wrapText="1"/>
    </xf>
    <xf numFmtId="4" fontId="17" fillId="9" borderId="1" xfId="0" applyNumberFormat="1" applyFont="1" applyFill="1" applyBorder="1" applyAlignment="1"/>
    <xf numFmtId="4" fontId="41" fillId="9" borderId="1" xfId="0" applyNumberFormat="1" applyFont="1" applyFill="1" applyBorder="1" applyAlignment="1"/>
    <xf numFmtId="0" fontId="58" fillId="0" borderId="0" xfId="0" applyFont="1" applyAlignment="1"/>
    <xf numFmtId="0" fontId="50" fillId="0" borderId="0" xfId="0" applyFont="1" applyFill="1" applyAlignment="1"/>
    <xf numFmtId="49" fontId="49" fillId="0" borderId="1" xfId="0" applyNumberFormat="1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0" fontId="58" fillId="0" borderId="0" xfId="0" applyFont="1" applyFill="1" applyBorder="1" applyAlignment="1"/>
    <xf numFmtId="0" fontId="56" fillId="0" borderId="1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/>
    <xf numFmtId="0" fontId="0" fillId="0" borderId="0" xfId="0" applyFill="1" applyAlignment="1"/>
    <xf numFmtId="49" fontId="5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 wrapText="1"/>
    </xf>
    <xf numFmtId="0" fontId="59" fillId="4" borderId="0" xfId="0" applyFont="1" applyFill="1" applyAlignment="1">
      <alignment vertical="center" wrapText="1"/>
    </xf>
    <xf numFmtId="0" fontId="59" fillId="4" borderId="0" xfId="0" applyFont="1" applyFill="1" applyAlignment="1">
      <alignment horizontal="center" wrapText="1"/>
    </xf>
    <xf numFmtId="0" fontId="59" fillId="4" borderId="0" xfId="0" applyFont="1" applyFill="1" applyAlignment="1">
      <alignment wrapText="1"/>
    </xf>
    <xf numFmtId="4" fontId="59" fillId="4" borderId="0" xfId="0" applyNumberFormat="1" applyFont="1" applyFill="1" applyAlignment="1">
      <alignment horizontal="right" vertical="center" wrapText="1"/>
    </xf>
    <xf numFmtId="4" fontId="59" fillId="4" borderId="0" xfId="0" applyNumberFormat="1" applyFont="1" applyFill="1" applyAlignment="1">
      <alignment wrapText="1"/>
    </xf>
    <xf numFmtId="43" fontId="59" fillId="4" borderId="0" xfId="5" applyFont="1" applyFill="1" applyAlignment="1">
      <alignment wrapText="1"/>
    </xf>
    <xf numFmtId="4" fontId="11" fillId="4" borderId="0" xfId="0" applyNumberFormat="1" applyFont="1" applyFill="1" applyAlignment="1">
      <alignment horizontal="right" vertical="center"/>
    </xf>
    <xf numFmtId="4" fontId="11" fillId="4" borderId="0" xfId="0" applyNumberFormat="1" applyFont="1" applyFill="1" applyAlignment="1">
      <alignment horizontal="right" vertical="center" wrapText="1"/>
    </xf>
    <xf numFmtId="0" fontId="6" fillId="4" borderId="0" xfId="0" applyFont="1" applyFill="1" applyAlignment="1">
      <alignment vertical="center" wrapText="1"/>
    </xf>
    <xf numFmtId="0" fontId="6" fillId="4" borderId="0" xfId="0" applyFont="1" applyFill="1" applyAlignment="1">
      <alignment horizontal="center" vertical="center" wrapText="1"/>
    </xf>
    <xf numFmtId="4" fontId="59" fillId="4" borderId="0" xfId="0" applyNumberFormat="1" applyFont="1" applyFill="1" applyAlignment="1">
      <alignment horizontal="right" vertical="center"/>
    </xf>
    <xf numFmtId="0" fontId="60" fillId="4" borderId="1" xfId="0" applyFont="1" applyFill="1" applyBorder="1" applyAlignment="1">
      <alignment horizontal="center" vertical="center" wrapText="1"/>
    </xf>
    <xf numFmtId="49" fontId="60" fillId="4" borderId="1" xfId="0" applyNumberFormat="1" applyFont="1" applyFill="1" applyBorder="1" applyAlignment="1">
      <alignment horizontal="center" vertical="center" wrapText="1"/>
    </xf>
    <xf numFmtId="4" fontId="60" fillId="4" borderId="1" xfId="0" applyNumberFormat="1" applyFont="1" applyFill="1" applyBorder="1" applyAlignment="1">
      <alignment horizontal="center" vertical="center" wrapText="1"/>
    </xf>
    <xf numFmtId="3" fontId="60" fillId="4" borderId="1" xfId="0" applyNumberFormat="1" applyFont="1" applyFill="1" applyBorder="1" applyAlignment="1">
      <alignment horizontal="center" vertical="center" wrapText="1"/>
    </xf>
    <xf numFmtId="4" fontId="60" fillId="4" borderId="0" xfId="0" applyNumberFormat="1" applyFont="1" applyFill="1" applyAlignment="1">
      <alignment horizontal="center" wrapText="1"/>
    </xf>
    <xf numFmtId="43" fontId="60" fillId="4" borderId="0" xfId="5" applyFont="1" applyFill="1" applyAlignment="1">
      <alignment horizontal="center" wrapText="1"/>
    </xf>
    <xf numFmtId="0" fontId="60" fillId="4" borderId="0" xfId="0" applyFont="1" applyFill="1" applyAlignment="1">
      <alignment horizontal="center" wrapText="1"/>
    </xf>
    <xf numFmtId="0" fontId="6" fillId="4" borderId="1" xfId="0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right" vertical="center"/>
    </xf>
    <xf numFmtId="4" fontId="61" fillId="4" borderId="1" xfId="0" applyNumberFormat="1" applyFont="1" applyFill="1" applyBorder="1" applyAlignment="1">
      <alignment horizontal="right" vertical="center"/>
    </xf>
    <xf numFmtId="4" fontId="59" fillId="0" borderId="0" xfId="0" applyNumberFormat="1" applyFont="1" applyFill="1" applyAlignment="1">
      <alignment wrapText="1"/>
    </xf>
    <xf numFmtId="0" fontId="59" fillId="4" borderId="1" xfId="0" applyFont="1" applyFill="1" applyBorder="1" applyAlignment="1">
      <alignment vertical="center" wrapText="1"/>
    </xf>
    <xf numFmtId="49" fontId="59" fillId="4" borderId="1" xfId="0" applyNumberFormat="1" applyFont="1" applyFill="1" applyBorder="1" applyAlignment="1">
      <alignment horizontal="center" vertical="center"/>
    </xf>
    <xf numFmtId="4" fontId="59" fillId="4" borderId="1" xfId="0" applyNumberFormat="1" applyFont="1" applyFill="1" applyBorder="1" applyAlignment="1">
      <alignment horizontal="right" vertical="center"/>
    </xf>
    <xf numFmtId="43" fontId="59" fillId="0" borderId="0" xfId="5" applyFont="1" applyFill="1" applyAlignment="1">
      <alignment wrapText="1"/>
    </xf>
    <xf numFmtId="0" fontId="59" fillId="0" borderId="0" xfId="0" applyFont="1" applyFill="1" applyAlignment="1">
      <alignment wrapText="1"/>
    </xf>
    <xf numFmtId="49" fontId="59" fillId="4" borderId="1" xfId="0" applyNumberFormat="1" applyFont="1" applyFill="1" applyBorder="1" applyAlignment="1">
      <alignment horizontal="center" vertical="center" wrapText="1"/>
    </xf>
    <xf numFmtId="4" fontId="59" fillId="4" borderId="1" xfId="0" applyNumberFormat="1" applyFont="1" applyFill="1" applyBorder="1" applyAlignment="1">
      <alignment horizontal="right" vertical="center" wrapText="1"/>
    </xf>
    <xf numFmtId="1" fontId="59" fillId="4" borderId="1" xfId="12" applyNumberFormat="1" applyFont="1" applyFill="1" applyBorder="1" applyAlignment="1">
      <alignment vertical="center" wrapText="1"/>
    </xf>
    <xf numFmtId="49" fontId="59" fillId="0" borderId="1" xfId="13" applyNumberFormat="1" applyFont="1" applyFill="1" applyBorder="1" applyAlignment="1">
      <alignment horizontal="center" vertical="center" wrapText="1" shrinkToFit="1"/>
    </xf>
    <xf numFmtId="1" fontId="6" fillId="4" borderId="1" xfId="12" applyNumberFormat="1" applyFont="1" applyFill="1" applyBorder="1" applyAlignment="1">
      <alignment vertical="center" wrapText="1"/>
    </xf>
    <xf numFmtId="49" fontId="6" fillId="4" borderId="1" xfId="13" applyNumberFormat="1" applyFont="1" applyFill="1" applyBorder="1" applyAlignment="1">
      <alignment horizontal="center" vertical="center" wrapText="1" shrinkToFit="1"/>
    </xf>
    <xf numFmtId="4" fontId="6" fillId="4" borderId="1" xfId="0" applyNumberFormat="1" applyFont="1" applyFill="1" applyBorder="1" applyAlignment="1">
      <alignment horizontal="right" vertical="center" wrapText="1"/>
    </xf>
    <xf numFmtId="49" fontId="62" fillId="4" borderId="1" xfId="0" applyNumberFormat="1" applyFont="1" applyFill="1" applyBorder="1" applyAlignment="1">
      <alignment vertical="center" wrapText="1"/>
    </xf>
    <xf numFmtId="49" fontId="62" fillId="4" borderId="1" xfId="0" applyNumberFormat="1" applyFont="1" applyFill="1" applyBorder="1" applyAlignment="1">
      <alignment horizontal="center" vertical="center"/>
    </xf>
    <xf numFmtId="4" fontId="63" fillId="4" borderId="1" xfId="0" applyNumberFormat="1" applyFont="1" applyFill="1" applyBorder="1" applyAlignment="1">
      <alignment horizontal="right" vertical="center"/>
    </xf>
    <xf numFmtId="4" fontId="63" fillId="4" borderId="1" xfId="0" applyNumberFormat="1" applyFont="1" applyFill="1" applyBorder="1" applyAlignment="1">
      <alignment horizontal="right" vertical="center" wrapText="1"/>
    </xf>
    <xf numFmtId="4" fontId="60" fillId="4" borderId="0" xfId="0" applyNumberFormat="1" applyFont="1" applyFill="1" applyAlignment="1">
      <alignment wrapText="1"/>
    </xf>
    <xf numFmtId="43" fontId="60" fillId="4" borderId="0" xfId="5" applyFont="1" applyFill="1" applyAlignment="1">
      <alignment wrapText="1"/>
    </xf>
    <xf numFmtId="0" fontId="60" fillId="4" borderId="0" xfId="0" applyFont="1" applyFill="1" applyAlignment="1">
      <alignment wrapText="1"/>
    </xf>
    <xf numFmtId="4" fontId="62" fillId="4" borderId="1" xfId="0" applyNumberFormat="1" applyFont="1" applyFill="1" applyBorder="1" applyAlignment="1">
      <alignment horizontal="right" vertical="center"/>
    </xf>
    <xf numFmtId="49" fontId="59" fillId="4" borderId="1" xfId="0" applyNumberFormat="1" applyFont="1" applyFill="1" applyBorder="1" applyAlignment="1">
      <alignment vertical="center" wrapText="1"/>
    </xf>
    <xf numFmtId="4" fontId="62" fillId="4" borderId="1" xfId="0" applyNumberFormat="1" applyFont="1" applyFill="1" applyBorder="1" applyAlignment="1">
      <alignment horizontal="right" vertical="center" wrapText="1"/>
    </xf>
    <xf numFmtId="0" fontId="6" fillId="4" borderId="1" xfId="14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vertical="center" wrapText="1"/>
    </xf>
    <xf numFmtId="49" fontId="6" fillId="4" borderId="1" xfId="14" applyNumberFormat="1" applyFont="1" applyFill="1" applyBorder="1" applyAlignment="1">
      <alignment vertical="center" wrapText="1"/>
    </xf>
    <xf numFmtId="4" fontId="6" fillId="4" borderId="0" xfId="0" applyNumberFormat="1" applyFont="1" applyFill="1" applyAlignment="1">
      <alignment wrapText="1"/>
    </xf>
    <xf numFmtId="43" fontId="6" fillId="4" borderId="0" xfId="5" applyFont="1" applyFill="1" applyAlignment="1">
      <alignment wrapText="1"/>
    </xf>
    <xf numFmtId="0" fontId="6" fillId="4" borderId="0" xfId="0" applyFont="1" applyFill="1" applyAlignment="1">
      <alignment wrapText="1"/>
    </xf>
    <xf numFmtId="0" fontId="59" fillId="4" borderId="1" xfId="14" applyFont="1" applyFill="1" applyBorder="1" applyAlignment="1">
      <alignment vertical="center" wrapText="1"/>
    </xf>
    <xf numFmtId="49" fontId="62" fillId="4" borderId="1" xfId="14" applyNumberFormat="1" applyFont="1" applyFill="1" applyBorder="1" applyAlignment="1">
      <alignment vertical="center" wrapText="1"/>
    </xf>
    <xf numFmtId="49" fontId="62" fillId="4" borderId="1" xfId="0" applyNumberFormat="1" applyFont="1" applyFill="1" applyBorder="1" applyAlignment="1">
      <alignment horizontal="center" vertical="center" wrapText="1"/>
    </xf>
    <xf numFmtId="0" fontId="59" fillId="4" borderId="1" xfId="13" applyFont="1" applyFill="1" applyBorder="1" applyAlignment="1">
      <alignment vertical="center" wrapText="1"/>
    </xf>
    <xf numFmtId="4" fontId="6" fillId="0" borderId="0" xfId="0" applyNumberFormat="1" applyFont="1" applyFill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0" fontId="59" fillId="4" borderId="1" xfId="0" applyFont="1" applyFill="1" applyBorder="1" applyAlignment="1">
      <alignment horizontal="center" vertical="center" wrapText="1"/>
    </xf>
    <xf numFmtId="0" fontId="59" fillId="4" borderId="1" xfId="13" applyFont="1" applyFill="1" applyBorder="1" applyAlignment="1">
      <alignment horizontal="left" vertical="center" wrapText="1"/>
    </xf>
    <xf numFmtId="0" fontId="64" fillId="10" borderId="12" xfId="10" applyFont="1" applyFill="1" applyBorder="1" applyAlignment="1">
      <alignment vertical="center" wrapText="1"/>
    </xf>
    <xf numFmtId="1" fontId="59" fillId="10" borderId="12" xfId="10" applyNumberFormat="1" applyFont="1" applyFill="1" applyBorder="1" applyAlignment="1">
      <alignment vertical="center" wrapText="1"/>
    </xf>
    <xf numFmtId="4" fontId="65" fillId="4" borderId="1" xfId="0" applyNumberFormat="1" applyFont="1" applyFill="1" applyBorder="1" applyAlignment="1">
      <alignment horizontal="right" vertical="center"/>
    </xf>
    <xf numFmtId="49" fontId="59" fillId="4" borderId="1" xfId="14" applyNumberFormat="1" applyFont="1" applyFill="1" applyBorder="1" applyAlignment="1">
      <alignment vertical="center" wrapText="1"/>
    </xf>
    <xf numFmtId="0" fontId="6" fillId="4" borderId="1" xfId="15" applyFont="1" applyFill="1" applyBorder="1" applyAlignment="1">
      <alignment vertical="center" wrapText="1"/>
    </xf>
    <xf numFmtId="0" fontId="59" fillId="4" borderId="1" xfId="16" applyFont="1" applyFill="1" applyBorder="1" applyAlignment="1">
      <alignment vertical="center" wrapText="1"/>
    </xf>
    <xf numFmtId="49" fontId="59" fillId="4" borderId="1" xfId="14" applyNumberFormat="1" applyFont="1" applyFill="1" applyBorder="1" applyAlignment="1">
      <alignment horizontal="center" vertical="center"/>
    </xf>
    <xf numFmtId="49" fontId="59" fillId="4" borderId="1" xfId="15" applyNumberFormat="1" applyFont="1" applyFill="1" applyBorder="1" applyAlignment="1">
      <alignment horizontal="center" vertical="center" wrapText="1"/>
    </xf>
    <xf numFmtId="0" fontId="6" fillId="4" borderId="1" xfId="16" applyFont="1" applyFill="1" applyBorder="1" applyAlignment="1">
      <alignment vertical="center" wrapText="1"/>
    </xf>
    <xf numFmtId="0" fontId="59" fillId="4" borderId="1" xfId="15" applyFont="1" applyFill="1" applyBorder="1" applyAlignment="1">
      <alignment vertical="center" wrapText="1"/>
    </xf>
    <xf numFmtId="49" fontId="62" fillId="4" borderId="1" xfId="14" applyNumberFormat="1" applyFont="1" applyFill="1" applyBorder="1" applyAlignment="1">
      <alignment horizontal="center" vertical="center"/>
    </xf>
    <xf numFmtId="0" fontId="62" fillId="4" borderId="1" xfId="16" applyFont="1" applyFill="1" applyBorder="1" applyAlignment="1">
      <alignment vertical="center" wrapText="1"/>
    </xf>
    <xf numFmtId="49" fontId="6" fillId="4" borderId="1" xfId="15" applyNumberFormat="1" applyFont="1" applyFill="1" applyBorder="1" applyAlignment="1">
      <alignment horizontal="center" vertical="center" wrapText="1"/>
    </xf>
    <xf numFmtId="4" fontId="6" fillId="4" borderId="1" xfId="15" applyNumberFormat="1" applyFont="1" applyFill="1" applyBorder="1" applyAlignment="1">
      <alignment horizontal="right" vertical="center"/>
    </xf>
    <xf numFmtId="4" fontId="66" fillId="4" borderId="1" xfId="15" applyNumberFormat="1" applyFont="1" applyFill="1" applyBorder="1" applyAlignment="1">
      <alignment horizontal="right" vertical="center"/>
    </xf>
    <xf numFmtId="49" fontId="67" fillId="4" borderId="1" xfId="0" applyNumberFormat="1" applyFont="1" applyFill="1" applyBorder="1" applyAlignment="1">
      <alignment vertical="center" wrapText="1"/>
    </xf>
    <xf numFmtId="49" fontId="62" fillId="4" borderId="1" xfId="15" applyNumberFormat="1" applyFont="1" applyFill="1" applyBorder="1" applyAlignment="1">
      <alignment horizontal="center" vertical="center" wrapText="1"/>
    </xf>
    <xf numFmtId="4" fontId="62" fillId="4" borderId="0" xfId="0" applyNumberFormat="1" applyFont="1" applyFill="1" applyAlignment="1">
      <alignment wrapText="1"/>
    </xf>
    <xf numFmtId="43" fontId="62" fillId="4" borderId="0" xfId="5" applyFont="1" applyFill="1" applyAlignment="1">
      <alignment wrapText="1"/>
    </xf>
    <xf numFmtId="0" fontId="62" fillId="4" borderId="0" xfId="0" applyFont="1" applyFill="1" applyAlignment="1">
      <alignment wrapText="1"/>
    </xf>
    <xf numFmtId="4" fontId="66" fillId="4" borderId="1" xfId="0" applyNumberFormat="1" applyFont="1" applyFill="1" applyBorder="1" applyAlignment="1">
      <alignment horizontal="right" vertical="center"/>
    </xf>
    <xf numFmtId="1" fontId="6" fillId="4" borderId="1" xfId="0" applyNumberFormat="1" applyFont="1" applyFill="1" applyBorder="1" applyAlignment="1">
      <alignment vertical="center" wrapText="1"/>
    </xf>
    <xf numFmtId="4" fontId="6" fillId="4" borderId="1" xfId="13" applyNumberFormat="1" applyFont="1" applyFill="1" applyBorder="1" applyAlignment="1">
      <alignment horizontal="right" vertical="center"/>
    </xf>
    <xf numFmtId="4" fontId="61" fillId="4" borderId="1" xfId="13" applyNumberFormat="1" applyFont="1" applyFill="1" applyBorder="1" applyAlignment="1">
      <alignment horizontal="right" vertical="center"/>
    </xf>
    <xf numFmtId="0" fontId="59" fillId="4" borderId="1" xfId="13" applyFont="1" applyFill="1" applyBorder="1" applyAlignment="1">
      <alignment vertical="justify" wrapText="1"/>
    </xf>
    <xf numFmtId="0" fontId="62" fillId="4" borderId="1" xfId="14" applyFont="1" applyFill="1" applyBorder="1" applyAlignment="1">
      <alignment vertical="center" wrapText="1"/>
    </xf>
    <xf numFmtId="49" fontId="59" fillId="4" borderId="1" xfId="15" applyNumberFormat="1" applyFont="1" applyFill="1" applyBorder="1" applyAlignment="1">
      <alignment horizontal="center" vertical="center"/>
    </xf>
    <xf numFmtId="165" fontId="59" fillId="4" borderId="1" xfId="0" applyNumberFormat="1" applyFont="1" applyFill="1" applyBorder="1" applyAlignment="1">
      <alignment vertical="center" wrapText="1"/>
    </xf>
    <xf numFmtId="0" fontId="59" fillId="4" borderId="1" xfId="13" applyFont="1" applyFill="1" applyBorder="1" applyAlignment="1">
      <alignment horizontal="center" vertical="center" wrapText="1"/>
    </xf>
    <xf numFmtId="49" fontId="59" fillId="4" borderId="1" xfId="13" applyNumberFormat="1" applyFont="1" applyFill="1" applyBorder="1" applyAlignment="1">
      <alignment horizontal="center" vertical="center" wrapText="1" shrinkToFit="1"/>
    </xf>
    <xf numFmtId="0" fontId="6" fillId="4" borderId="1" xfId="13" applyFont="1" applyFill="1" applyBorder="1" applyAlignment="1">
      <alignment horizontal="center" vertical="center" wrapText="1"/>
    </xf>
    <xf numFmtId="165" fontId="62" fillId="4" borderId="1" xfId="0" applyNumberFormat="1" applyFont="1" applyFill="1" applyBorder="1" applyAlignment="1">
      <alignment vertical="center" wrapText="1"/>
    </xf>
    <xf numFmtId="0" fontId="62" fillId="4" borderId="1" xfId="13" applyFont="1" applyFill="1" applyBorder="1" applyAlignment="1">
      <alignment horizontal="center" vertical="center" wrapText="1"/>
    </xf>
    <xf numFmtId="49" fontId="62" fillId="4" borderId="1" xfId="13" applyNumberFormat="1" applyFont="1" applyFill="1" applyBorder="1" applyAlignment="1">
      <alignment horizontal="center" vertical="center" wrapText="1" shrinkToFit="1"/>
    </xf>
    <xf numFmtId="4" fontId="59" fillId="4" borderId="1" xfId="15" applyNumberFormat="1" applyFont="1" applyFill="1" applyBorder="1" applyAlignment="1">
      <alignment horizontal="right" vertical="center"/>
    </xf>
    <xf numFmtId="4" fontId="59" fillId="4" borderId="1" xfId="13" applyNumberFormat="1" applyFont="1" applyFill="1" applyBorder="1" applyAlignment="1">
      <alignment horizontal="right" vertical="center"/>
    </xf>
    <xf numFmtId="2" fontId="62" fillId="4" borderId="1" xfId="14" applyNumberFormat="1" applyFont="1" applyFill="1" applyBorder="1" applyAlignment="1">
      <alignment vertical="center" wrapText="1"/>
    </xf>
    <xf numFmtId="0" fontId="6" fillId="4" borderId="1" xfId="13" applyFont="1" applyFill="1" applyBorder="1" applyAlignment="1">
      <alignment vertical="center" wrapText="1"/>
    </xf>
    <xf numFmtId="0" fontId="59" fillId="4" borderId="1" xfId="0" applyFont="1" applyFill="1" applyBorder="1" applyAlignment="1">
      <alignment horizontal="center" wrapText="1"/>
    </xf>
    <xf numFmtId="0" fontId="62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wrapText="1"/>
    </xf>
    <xf numFmtId="4" fontId="68" fillId="4" borderId="1" xfId="0" applyNumberFormat="1" applyFont="1" applyFill="1" applyBorder="1" applyAlignment="1">
      <alignment horizontal="right" vertical="center"/>
    </xf>
    <xf numFmtId="0" fontId="6" fillId="4" borderId="0" xfId="0" applyFont="1" applyFill="1" applyBorder="1" applyAlignment="1">
      <alignment vertical="center" wrapText="1"/>
    </xf>
    <xf numFmtId="0" fontId="6" fillId="4" borderId="0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wrapText="1"/>
    </xf>
    <xf numFmtId="4" fontId="6" fillId="4" borderId="0" xfId="0" applyNumberFormat="1" applyFont="1" applyFill="1" applyBorder="1" applyAlignment="1">
      <alignment horizontal="right" vertical="center"/>
    </xf>
    <xf numFmtId="4" fontId="59" fillId="4" borderId="0" xfId="5" applyNumberFormat="1" applyFont="1" applyFill="1" applyAlignment="1">
      <alignment wrapText="1"/>
    </xf>
    <xf numFmtId="4" fontId="6" fillId="4" borderId="0" xfId="14" applyNumberFormat="1" applyFont="1" applyFill="1" applyAlignment="1">
      <alignment horizontal="right" vertical="center"/>
    </xf>
    <xf numFmtId="4" fontId="59" fillId="4" borderId="0" xfId="14" applyNumberFormat="1" applyFont="1" applyFill="1" applyAlignment="1">
      <alignment horizontal="right" vertical="center"/>
    </xf>
    <xf numFmtId="43" fontId="6" fillId="4" borderId="0" xfId="5" applyFont="1" applyFill="1"/>
    <xf numFmtId="4" fontId="6" fillId="4" borderId="0" xfId="14" applyNumberFormat="1" applyFont="1" applyFill="1"/>
    <xf numFmtId="49" fontId="6" fillId="4" borderId="0" xfId="14" applyNumberFormat="1" applyFont="1" applyFill="1" applyAlignment="1">
      <alignment horizontal="center"/>
    </xf>
    <xf numFmtId="0" fontId="6" fillId="4" borderId="0" xfId="0" applyFont="1" applyFill="1" applyAlignment="1"/>
    <xf numFmtId="4" fontId="6" fillId="4" borderId="0" xfId="14" applyNumberFormat="1" applyFont="1" applyFill="1" applyAlignment="1">
      <alignment vertical="center"/>
    </xf>
    <xf numFmtId="4" fontId="6" fillId="4" borderId="0" xfId="14" applyNumberFormat="1" applyFont="1" applyFill="1" applyAlignment="1">
      <alignment horizontal="left" vertical="center"/>
    </xf>
    <xf numFmtId="4" fontId="6" fillId="4" borderId="0" xfId="0" applyNumberFormat="1" applyFont="1" applyFill="1" applyAlignment="1">
      <alignment horizontal="left" vertical="center" wrapText="1"/>
    </xf>
    <xf numFmtId="0" fontId="6" fillId="4" borderId="0" xfId="0" applyFont="1" applyFill="1" applyAlignment="1">
      <alignment horizontal="right" wrapText="1"/>
    </xf>
    <xf numFmtId="4" fontId="6" fillId="4" borderId="0" xfId="0" applyNumberFormat="1" applyFont="1" applyFill="1" applyAlignment="1">
      <alignment horizontal="right" vertical="center" wrapText="1"/>
    </xf>
    <xf numFmtId="49" fontId="59" fillId="4" borderId="0" xfId="0" applyNumberFormat="1" applyFont="1" applyFill="1" applyAlignment="1">
      <alignment wrapText="1"/>
    </xf>
    <xf numFmtId="0" fontId="11" fillId="0" borderId="0" xfId="0" applyFont="1" applyAlignment="1"/>
    <xf numFmtId="0" fontId="18" fillId="6" borderId="0" xfId="0" applyFont="1" applyFill="1" applyBorder="1" applyAlignment="1">
      <alignment vertical="center"/>
    </xf>
    <xf numFmtId="0" fontId="17" fillId="6" borderId="0" xfId="0" applyFont="1" applyFill="1" applyBorder="1" applyAlignment="1">
      <alignment vertical="center" wrapText="1"/>
    </xf>
    <xf numFmtId="0" fontId="18" fillId="6" borderId="0" xfId="0" applyFont="1" applyFill="1" applyAlignment="1">
      <alignment horizontal="left" vertical="center"/>
    </xf>
    <xf numFmtId="49" fontId="17" fillId="6" borderId="0" xfId="0" applyNumberFormat="1" applyFont="1" applyFill="1" applyAlignment="1">
      <alignment horizontal="right" vertical="center"/>
    </xf>
    <xf numFmtId="0" fontId="69" fillId="4" borderId="0" xfId="0" applyFont="1" applyFill="1" applyAlignment="1">
      <alignment horizontal="right"/>
    </xf>
    <xf numFmtId="0" fontId="17" fillId="10" borderId="0" xfId="0" applyFont="1" applyFill="1" applyAlignment="1">
      <alignment vertical="center" wrapText="1"/>
    </xf>
    <xf numFmtId="0" fontId="69" fillId="4" borderId="0" xfId="0" applyFont="1" applyFill="1" applyBorder="1" applyAlignment="1">
      <alignment horizontal="right"/>
    </xf>
    <xf numFmtId="0" fontId="11" fillId="0" borderId="0" xfId="0" applyFont="1" applyAlignment="1">
      <alignment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/>
    <xf numFmtId="0" fontId="25" fillId="0" borderId="0" xfId="0" applyFont="1" applyAlignment="1">
      <alignment wrapText="1"/>
    </xf>
    <xf numFmtId="0" fontId="22" fillId="6" borderId="1" xfId="10" applyFont="1" applyFill="1" applyBorder="1" applyAlignment="1">
      <alignment vertical="center" wrapText="1"/>
    </xf>
    <xf numFmtId="49" fontId="31" fillId="6" borderId="1" xfId="10" applyNumberFormat="1" applyFont="1" applyFill="1" applyBorder="1" applyAlignment="1">
      <alignment horizontal="center" wrapText="1"/>
    </xf>
    <xf numFmtId="49" fontId="31" fillId="6" borderId="1" xfId="10" applyNumberFormat="1" applyFont="1" applyFill="1" applyBorder="1" applyAlignment="1">
      <alignment horizontal="center"/>
    </xf>
    <xf numFmtId="49" fontId="30" fillId="6" borderId="1" xfId="10" applyNumberFormat="1" applyFont="1" applyFill="1" applyBorder="1" applyAlignment="1">
      <alignment horizontal="center" wrapText="1"/>
    </xf>
    <xf numFmtId="49" fontId="29" fillId="6" borderId="1" xfId="10" applyNumberFormat="1" applyFont="1" applyFill="1" applyBorder="1" applyAlignment="1">
      <alignment horizontal="center" wrapText="1"/>
    </xf>
    <xf numFmtId="49" fontId="16" fillId="6" borderId="1" xfId="10" applyNumberFormat="1" applyFont="1" applyFill="1" applyBorder="1" applyAlignment="1">
      <alignment horizontal="center" wrapText="1"/>
    </xf>
    <xf numFmtId="4" fontId="22" fillId="0" borderId="1" xfId="10" applyNumberFormat="1" applyFont="1" applyFill="1" applyBorder="1" applyAlignment="1">
      <alignment wrapText="1"/>
    </xf>
    <xf numFmtId="0" fontId="15" fillId="6" borderId="1" xfId="10" applyFont="1" applyFill="1" applyBorder="1" applyAlignment="1">
      <alignment vertical="center" wrapText="1"/>
    </xf>
    <xf numFmtId="4" fontId="15" fillId="0" borderId="1" xfId="10" applyNumberFormat="1" applyFont="1" applyFill="1" applyBorder="1" applyAlignment="1"/>
    <xf numFmtId="49" fontId="16" fillId="6" borderId="1" xfId="10" applyNumberFormat="1" applyFont="1" applyFill="1" applyBorder="1" applyAlignment="1">
      <alignment horizontal="center"/>
    </xf>
    <xf numFmtId="49" fontId="33" fillId="6" borderId="1" xfId="10" applyNumberFormat="1" applyFont="1" applyFill="1" applyBorder="1" applyAlignment="1">
      <alignment horizontal="center"/>
    </xf>
    <xf numFmtId="49" fontId="15" fillId="6" borderId="1" xfId="10" applyNumberFormat="1" applyFont="1" applyFill="1" applyBorder="1" applyAlignment="1">
      <alignment horizontal="center"/>
    </xf>
    <xf numFmtId="4" fontId="11" fillId="0" borderId="1" xfId="0" applyNumberFormat="1" applyFont="1" applyBorder="1" applyAlignment="1"/>
    <xf numFmtId="0" fontId="11" fillId="0" borderId="1" xfId="0" applyFont="1" applyBorder="1" applyAlignment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/>
    <xf numFmtId="49" fontId="33" fillId="6" borderId="0" xfId="10" applyNumberFormat="1" applyFont="1" applyFill="1" applyBorder="1" applyAlignment="1">
      <alignment horizontal="center"/>
    </xf>
    <xf numFmtId="4" fontId="11" fillId="0" borderId="0" xfId="0" applyNumberFormat="1" applyFont="1" applyBorder="1" applyAlignment="1"/>
    <xf numFmtId="49" fontId="0" fillId="0" borderId="0" xfId="0" applyNumberFormat="1" applyFill="1" applyAlignment="1">
      <alignment horizontal="center" vertical="center"/>
    </xf>
    <xf numFmtId="0" fontId="70" fillId="0" borderId="0" xfId="0" applyFont="1" applyFill="1" applyAlignment="1">
      <alignment horizontal="right" vertical="center"/>
    </xf>
    <xf numFmtId="0" fontId="40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70" fillId="0" borderId="0" xfId="0" applyFont="1" applyFill="1" applyAlignment="1">
      <alignment horizontal="center" vertical="center"/>
    </xf>
    <xf numFmtId="0" fontId="71" fillId="0" borderId="0" xfId="0" applyFont="1" applyFill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70" fillId="0" borderId="13" xfId="0" applyNumberFormat="1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 wrapText="1"/>
    </xf>
    <xf numFmtId="0" fontId="70" fillId="0" borderId="15" xfId="0" applyFont="1" applyBorder="1" applyAlignment="1">
      <alignment horizontal="center" vertical="center" wrapText="1"/>
    </xf>
    <xf numFmtId="49" fontId="70" fillId="0" borderId="12" xfId="0" applyNumberFormat="1" applyFont="1" applyBorder="1" applyAlignment="1">
      <alignment horizontal="center" vertical="center" wrapText="1"/>
    </xf>
    <xf numFmtId="0" fontId="70" fillId="0" borderId="1" xfId="0" applyFont="1" applyBorder="1" applyAlignment="1">
      <alignment vertical="center" wrapText="1"/>
    </xf>
    <xf numFmtId="4" fontId="70" fillId="0" borderId="16" xfId="0" applyNumberFormat="1" applyFont="1" applyBorder="1" applyAlignment="1">
      <alignment horizontal="center" vertical="center" wrapText="1"/>
    </xf>
    <xf numFmtId="49" fontId="72" fillId="0" borderId="12" xfId="0" applyNumberFormat="1" applyFont="1" applyBorder="1" applyAlignment="1">
      <alignment horizontal="center" vertical="center" wrapText="1"/>
    </xf>
    <xf numFmtId="0" fontId="72" fillId="0" borderId="1" xfId="0" applyFont="1" applyBorder="1" applyAlignment="1">
      <alignment vertical="center" wrapText="1"/>
    </xf>
    <xf numFmtId="4" fontId="72" fillId="0" borderId="16" xfId="0" applyNumberFormat="1" applyFont="1" applyBorder="1" applyAlignment="1">
      <alignment horizontal="center" vertical="center" wrapText="1"/>
    </xf>
    <xf numFmtId="4" fontId="70" fillId="0" borderId="1" xfId="0" applyNumberFormat="1" applyFont="1" applyBorder="1" applyAlignment="1">
      <alignment horizontal="center" vertical="center" wrapText="1"/>
    </xf>
    <xf numFmtId="4" fontId="72" fillId="0" borderId="1" xfId="0" applyNumberFormat="1" applyFont="1" applyBorder="1" applyAlignment="1">
      <alignment horizontal="center" vertical="center" wrapText="1"/>
    </xf>
    <xf numFmtId="49" fontId="70" fillId="0" borderId="17" xfId="0" applyNumberFormat="1" applyFont="1" applyBorder="1" applyAlignment="1">
      <alignment horizontal="center" vertical="center" wrapText="1"/>
    </xf>
    <xf numFmtId="0" fontId="70" fillId="0" borderId="18" xfId="0" applyFont="1" applyBorder="1" applyAlignment="1">
      <alignment vertical="center" wrapText="1"/>
    </xf>
    <xf numFmtId="4" fontId="70" fillId="0" borderId="18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0" fontId="70" fillId="0" borderId="0" xfId="0" applyFont="1" applyFill="1" applyBorder="1" applyAlignment="1">
      <alignment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center" vertical="center" wrapText="1"/>
    </xf>
    <xf numFmtId="49" fontId="40" fillId="0" borderId="4" xfId="0" applyNumberFormat="1" applyFont="1" applyFill="1" applyBorder="1" applyAlignment="1">
      <alignment horizontal="center" vertical="center" wrapText="1"/>
    </xf>
    <xf numFmtId="49" fontId="40" fillId="0" borderId="3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49" fontId="49" fillId="0" borderId="2" xfId="0" applyNumberFormat="1" applyFont="1" applyBorder="1" applyAlignment="1">
      <alignment horizontal="center" vertical="center" wrapText="1"/>
    </xf>
    <xf numFmtId="49" fontId="49" fillId="0" borderId="4" xfId="0" applyNumberFormat="1" applyFont="1" applyBorder="1" applyAlignment="1">
      <alignment horizontal="center" vertical="center" wrapText="1"/>
    </xf>
    <xf numFmtId="49" fontId="49" fillId="0" borderId="3" xfId="0" applyNumberFormat="1" applyFont="1" applyBorder="1" applyAlignment="1">
      <alignment horizontal="center" vertical="center" wrapText="1"/>
    </xf>
    <xf numFmtId="4" fontId="31" fillId="0" borderId="0" xfId="10" applyNumberFormat="1" applyFont="1" applyFill="1" applyAlignment="1">
      <alignment horizontal="center"/>
    </xf>
    <xf numFmtId="0" fontId="17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center" vertical="center" wrapText="1"/>
    </xf>
    <xf numFmtId="0" fontId="16" fillId="0" borderId="0" xfId="10" applyFont="1" applyFill="1" applyAlignment="1">
      <alignment horizontal="center"/>
    </xf>
    <xf numFmtId="4" fontId="26" fillId="0" borderId="0" xfId="10" applyNumberFormat="1" applyFont="1" applyFill="1" applyAlignment="1">
      <alignment horizontal="center"/>
    </xf>
    <xf numFmtId="4" fontId="16" fillId="0" borderId="0" xfId="10" applyNumberFormat="1" applyFont="1" applyFill="1" applyAlignment="1">
      <alignment horizontal="center" vertical="center"/>
    </xf>
    <xf numFmtId="4" fontId="20" fillId="0" borderId="0" xfId="10" applyNumberFormat="1" applyFont="1" applyFill="1" applyAlignment="1">
      <alignment horizontal="center" vertical="center"/>
    </xf>
    <xf numFmtId="4" fontId="4" fillId="0" borderId="0" xfId="10" applyNumberFormat="1" applyFont="1" applyFill="1" applyAlignment="1">
      <alignment horizontal="center" vertical="center"/>
    </xf>
    <xf numFmtId="4" fontId="29" fillId="0" borderId="0" xfId="10" applyNumberFormat="1" applyFont="1" applyFill="1" applyAlignment="1">
      <alignment horizontal="center" vertical="center"/>
    </xf>
    <xf numFmtId="4" fontId="16" fillId="0" borderId="0" xfId="10" applyNumberFormat="1" applyFont="1" applyFill="1" applyAlignment="1">
      <alignment horizontal="center"/>
    </xf>
    <xf numFmtId="4" fontId="31" fillId="0" borderId="0" xfId="10" applyNumberFormat="1" applyFont="1" applyFill="1" applyBorder="1" applyAlignment="1">
      <alignment horizontal="center"/>
    </xf>
    <xf numFmtId="0" fontId="31" fillId="0" borderId="0" xfId="10" applyFont="1" applyFill="1" applyBorder="1" applyAlignment="1">
      <alignment horizontal="center"/>
    </xf>
    <xf numFmtId="4" fontId="16" fillId="0" borderId="0" xfId="10" applyNumberFormat="1" applyFont="1" applyFill="1" applyBorder="1" applyAlignment="1">
      <alignment horizontal="center"/>
    </xf>
    <xf numFmtId="4" fontId="33" fillId="0" borderId="0" xfId="10" applyNumberFormat="1" applyFont="1" applyFill="1" applyBorder="1" applyAlignment="1">
      <alignment horizontal="center"/>
    </xf>
    <xf numFmtId="0" fontId="6" fillId="4" borderId="0" xfId="0" applyFont="1" applyFill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22" fillId="0" borderId="1" xfId="1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wrapText="1"/>
    </xf>
    <xf numFmtId="0" fontId="17" fillId="6" borderId="0" xfId="0" applyFont="1" applyFill="1" applyBorder="1" applyAlignment="1">
      <alignment horizontal="right" vertical="center"/>
    </xf>
    <xf numFmtId="0" fontId="17" fillId="6" borderId="0" xfId="0" applyFont="1" applyFill="1" applyAlignment="1">
      <alignment horizontal="right" vertical="center"/>
    </xf>
    <xf numFmtId="0" fontId="25" fillId="0" borderId="0" xfId="0" applyFont="1" applyAlignment="1">
      <alignment horizontal="center" wrapText="1"/>
    </xf>
    <xf numFmtId="0" fontId="30" fillId="6" borderId="1" xfId="10" applyFont="1" applyFill="1" applyBorder="1" applyAlignment="1">
      <alignment horizontal="center" vertical="center" wrapText="1"/>
    </xf>
    <xf numFmtId="0" fontId="29" fillId="6" borderId="1" xfId="10" applyFont="1" applyFill="1" applyBorder="1" applyAlignment="1">
      <alignment horizontal="center" vertical="center" wrapText="1"/>
    </xf>
    <xf numFmtId="49" fontId="29" fillId="6" borderId="1" xfId="10" applyNumberFormat="1" applyFont="1" applyFill="1" applyBorder="1" applyAlignment="1">
      <alignment horizontal="center" vertical="center" wrapText="1"/>
    </xf>
    <xf numFmtId="49" fontId="30" fillId="6" borderId="1" xfId="10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top" wrapText="1"/>
    </xf>
  </cellXfs>
  <cellStyles count="17">
    <cellStyle name="xl23" xfId="4"/>
    <cellStyle name="xl27" xfId="3"/>
    <cellStyle name="xl30" xfId="7"/>
    <cellStyle name="xl40" xfId="2"/>
    <cellStyle name="xl41" xfId="8"/>
    <cellStyle name="xl50" xfId="9"/>
    <cellStyle name="Обычный" xfId="0" builtinId="0"/>
    <cellStyle name="Обычный 2" xfId="1"/>
    <cellStyle name="Обычный 2 2" xfId="11"/>
    <cellStyle name="Обычный_БЮДЖЕТ 2013" xfId="16"/>
    <cellStyle name="Обычный_Бюджет МО МР (для сессии)" xfId="14"/>
    <cellStyle name="Обычный_Лист2" xfId="13"/>
    <cellStyle name="Обычный_по распорядителям" xfId="12"/>
    <cellStyle name="Обычный_по распорядителям МРУО 5.12.2008г" xfId="15"/>
    <cellStyle name="Обычный_форма к бюджету 2007" xfId="10"/>
    <cellStyle name="Финансовый" xfId="5" builtinId="3"/>
    <cellStyle name="Финансовый 10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AM\Desktop\&#1055;&#1088;&#1080;&#1083;&#1086;&#1078;&#1077;&#1085;&#1080;&#1103;%20&#1082;%20&#1089;&#1077;&#1089;&#1089;&#1080;&#1080;%20&#1089;%20&#1080;&#1089;&#1090;&#1086;&#1095;&#1085;&#1080;&#1082;&#1072;&#1084;&#1080;%20&#1080;%20&#1074;&#1077;&#1076;&#1086;&#1084;%20&#1086;&#1090;%2021.11.23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Лист1"/>
      <sheetName val="Приложение 2"/>
      <sheetName val="Приложение 3"/>
      <sheetName val="Приложение 4"/>
      <sheetName val="Приложение 4.1"/>
      <sheetName val="Приложение 5 ведом"/>
      <sheetName val="Приложение 6"/>
      <sheetName val="Приложение 7 источники"/>
    </sheetNames>
    <sheetDataSet>
      <sheetData sheetId="0"/>
      <sheetData sheetId="1"/>
      <sheetData sheetId="2"/>
      <sheetData sheetId="3">
        <row r="24">
          <cell r="H24">
            <v>327600</v>
          </cell>
        </row>
        <row r="25">
          <cell r="H25">
            <v>125031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04"/>
  <sheetViews>
    <sheetView topLeftCell="A86" zoomScaleNormal="100" zoomScaleSheetLayoutView="95" workbookViewId="0">
      <selection sqref="A1:H104"/>
    </sheetView>
  </sheetViews>
  <sheetFormatPr defaultRowHeight="12.75" x14ac:dyDescent="0.2"/>
  <cols>
    <col min="1" max="1" width="24.6640625" style="3" customWidth="1"/>
    <col min="2" max="2" width="52.83203125" style="11" customWidth="1"/>
    <col min="3" max="3" width="16.33203125" style="36" customWidth="1"/>
    <col min="4" max="4" width="15.1640625" style="36" customWidth="1"/>
    <col min="5" max="5" width="18.83203125" style="36" customWidth="1"/>
    <col min="6" max="6" width="14" style="36" customWidth="1"/>
    <col min="7" max="7" width="19.83203125" style="36" customWidth="1"/>
    <col min="8" max="8" width="34.1640625" style="11" customWidth="1"/>
    <col min="9" max="9" width="10.83203125" style="11" bestFit="1" customWidth="1"/>
    <col min="10" max="16384" width="9.33203125" style="11"/>
  </cols>
  <sheetData>
    <row r="1" spans="1:14" ht="42" customHeight="1" x14ac:dyDescent="0.2">
      <c r="C1" s="567" t="s">
        <v>1117</v>
      </c>
      <c r="D1" s="567"/>
      <c r="E1" s="567"/>
      <c r="F1" s="567"/>
      <c r="G1" s="567"/>
    </row>
    <row r="2" spans="1:14" x14ac:dyDescent="0.2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idden="1" x14ac:dyDescent="0.2">
      <c r="A3" s="37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5" spans="1:14" ht="24.75" customHeight="1" x14ac:dyDescent="0.2">
      <c r="A5" s="567" t="s">
        <v>90</v>
      </c>
      <c r="B5" s="567"/>
      <c r="C5" s="567"/>
      <c r="D5" s="567"/>
      <c r="E5" s="567"/>
      <c r="F5" s="47"/>
      <c r="G5" s="10"/>
    </row>
    <row r="6" spans="1:14" hidden="1" x14ac:dyDescent="0.2">
      <c r="A6" s="7"/>
      <c r="B6" s="7"/>
      <c r="C6" s="7"/>
      <c r="D6" s="7"/>
      <c r="E6" s="7"/>
      <c r="F6" s="47"/>
      <c r="G6" s="47"/>
    </row>
    <row r="7" spans="1:14" ht="23.25" customHeight="1" x14ac:dyDescent="0.2">
      <c r="A7" s="7"/>
      <c r="B7" s="7"/>
      <c r="C7" s="14"/>
      <c r="D7" s="14"/>
      <c r="E7" s="14"/>
      <c r="F7" s="14"/>
      <c r="G7" s="14"/>
    </row>
    <row r="8" spans="1:14" ht="17.100000000000001" customHeight="1" x14ac:dyDescent="0.2">
      <c r="A8" s="3" t="s">
        <v>0</v>
      </c>
      <c r="B8" s="15" t="s">
        <v>0</v>
      </c>
      <c r="C8" s="16"/>
      <c r="D8" s="16"/>
      <c r="E8" s="16" t="s">
        <v>1</v>
      </c>
      <c r="F8" s="16"/>
      <c r="G8" s="16" t="s">
        <v>1</v>
      </c>
    </row>
    <row r="9" spans="1:14" ht="49.5" customHeight="1" x14ac:dyDescent="0.2">
      <c r="A9" s="5" t="s">
        <v>2</v>
      </c>
      <c r="B9" s="8" t="s">
        <v>3</v>
      </c>
      <c r="C9" s="9" t="s">
        <v>83</v>
      </c>
      <c r="D9" s="9" t="s">
        <v>106</v>
      </c>
      <c r="E9" s="9" t="s">
        <v>138</v>
      </c>
      <c r="F9" s="9" t="s">
        <v>106</v>
      </c>
      <c r="G9" s="9" t="s">
        <v>139</v>
      </c>
    </row>
    <row r="10" spans="1:14" ht="18.399999999999999" customHeight="1" x14ac:dyDescent="0.2">
      <c r="A10" s="4" t="s">
        <v>0</v>
      </c>
      <c r="B10" s="17" t="s">
        <v>4</v>
      </c>
      <c r="C10" s="18">
        <f t="shared" ref="C10:D10" si="0">SUM(C13:C49)</f>
        <v>38149543.880000003</v>
      </c>
      <c r="D10" s="18">
        <f t="shared" si="0"/>
        <v>1268602.8</v>
      </c>
      <c r="E10" s="18">
        <f>SUM(E13:E49)</f>
        <v>39418146.68</v>
      </c>
      <c r="F10" s="18">
        <f t="shared" ref="F10:G10" si="1">SUM(F13:F49)</f>
        <v>3000000</v>
      </c>
      <c r="G10" s="18">
        <f t="shared" si="1"/>
        <v>42418146.68</v>
      </c>
      <c r="I10" s="10"/>
      <c r="L10" s="564"/>
      <c r="M10" s="564"/>
    </row>
    <row r="11" spans="1:14" ht="27.75" hidden="1" customHeight="1" x14ac:dyDescent="0.2">
      <c r="A11" s="4" t="s">
        <v>0</v>
      </c>
      <c r="B11" s="17" t="s">
        <v>105</v>
      </c>
      <c r="C11" s="18"/>
      <c r="D11" s="18"/>
      <c r="E11" s="18"/>
      <c r="F11" s="18"/>
      <c r="G11" s="18"/>
    </row>
    <row r="12" spans="1:14" ht="16.7" hidden="1" customHeight="1" x14ac:dyDescent="0.2">
      <c r="A12" s="5" t="s">
        <v>5</v>
      </c>
      <c r="B12" s="17" t="s">
        <v>6</v>
      </c>
      <c r="C12" s="18"/>
      <c r="D12" s="18"/>
      <c r="E12" s="18"/>
      <c r="F12" s="18"/>
      <c r="G12" s="18"/>
    </row>
    <row r="13" spans="1:14" ht="66.75" customHeight="1" x14ac:dyDescent="0.2">
      <c r="A13" s="4" t="s">
        <v>7</v>
      </c>
      <c r="B13" s="19" t="s">
        <v>8</v>
      </c>
      <c r="C13" s="20">
        <v>11786900</v>
      </c>
      <c r="D13" s="20"/>
      <c r="E13" s="20">
        <f t="shared" ref="E13:E74" si="2">D13+C13</f>
        <v>11786900</v>
      </c>
      <c r="F13" s="20">
        <v>3000000</v>
      </c>
      <c r="G13" s="20">
        <f>E13+F13</f>
        <v>14786900</v>
      </c>
      <c r="H13" s="10"/>
    </row>
    <row r="14" spans="1:14" ht="96" customHeight="1" x14ac:dyDescent="0.2">
      <c r="A14" s="4" t="s">
        <v>9</v>
      </c>
      <c r="B14" s="19" t="s">
        <v>10</v>
      </c>
      <c r="C14" s="20">
        <v>10900</v>
      </c>
      <c r="D14" s="20"/>
      <c r="E14" s="20">
        <f t="shared" si="2"/>
        <v>10900</v>
      </c>
      <c r="F14" s="20"/>
      <c r="G14" s="20">
        <f t="shared" ref="G14:G38" si="3">E14+F14</f>
        <v>10900</v>
      </c>
    </row>
    <row r="15" spans="1:14" ht="67.5" customHeight="1" x14ac:dyDescent="0.2">
      <c r="A15" s="4" t="s">
        <v>81</v>
      </c>
      <c r="B15" s="21" t="s">
        <v>82</v>
      </c>
      <c r="C15" s="20">
        <v>29000</v>
      </c>
      <c r="D15" s="20"/>
      <c r="E15" s="20">
        <f t="shared" si="2"/>
        <v>29000</v>
      </c>
      <c r="F15" s="20"/>
      <c r="G15" s="20">
        <f t="shared" si="3"/>
        <v>29000</v>
      </c>
    </row>
    <row r="16" spans="1:14" ht="75.75" customHeight="1" x14ac:dyDescent="0.2">
      <c r="A16" s="4" t="s">
        <v>91</v>
      </c>
      <c r="B16" s="22" t="s">
        <v>92</v>
      </c>
      <c r="C16" s="20">
        <v>19000</v>
      </c>
      <c r="D16" s="20"/>
      <c r="E16" s="20">
        <f t="shared" si="2"/>
        <v>19000</v>
      </c>
      <c r="F16" s="20"/>
      <c r="G16" s="20">
        <f t="shared" si="3"/>
        <v>19000</v>
      </c>
    </row>
    <row r="17" spans="1:7" ht="43.35" customHeight="1" x14ac:dyDescent="0.2">
      <c r="A17" s="5" t="s">
        <v>11</v>
      </c>
      <c r="B17" s="17" t="s">
        <v>12</v>
      </c>
      <c r="C17" s="18"/>
      <c r="D17" s="18"/>
      <c r="E17" s="18"/>
      <c r="F17" s="18"/>
      <c r="G17" s="18"/>
    </row>
    <row r="18" spans="1:7" ht="72.599999999999994" hidden="1" customHeight="1" x14ac:dyDescent="0.2">
      <c r="A18" s="4" t="s">
        <v>13</v>
      </c>
      <c r="B18" s="19" t="s">
        <v>14</v>
      </c>
      <c r="C18" s="20">
        <v>0</v>
      </c>
      <c r="D18" s="20"/>
      <c r="E18" s="18">
        <f t="shared" si="2"/>
        <v>0</v>
      </c>
      <c r="F18" s="18"/>
      <c r="G18" s="20">
        <f t="shared" si="3"/>
        <v>0</v>
      </c>
    </row>
    <row r="19" spans="1:7" ht="63" hidden="1" customHeight="1" x14ac:dyDescent="0.2">
      <c r="A19" s="4" t="s">
        <v>75</v>
      </c>
      <c r="B19" s="19" t="s">
        <v>14</v>
      </c>
      <c r="C19" s="20">
        <v>195250</v>
      </c>
      <c r="D19" s="20">
        <v>-195250</v>
      </c>
      <c r="E19" s="20">
        <f t="shared" si="2"/>
        <v>0</v>
      </c>
      <c r="F19" s="20"/>
      <c r="G19" s="20">
        <f t="shared" si="3"/>
        <v>0</v>
      </c>
    </row>
    <row r="20" spans="1:7" ht="86.85" hidden="1" customHeight="1" x14ac:dyDescent="0.2">
      <c r="A20" s="4" t="s">
        <v>15</v>
      </c>
      <c r="B20" s="19" t="s">
        <v>16</v>
      </c>
      <c r="C20" s="20">
        <v>0</v>
      </c>
      <c r="D20" s="20"/>
      <c r="E20" s="20">
        <f t="shared" si="2"/>
        <v>0</v>
      </c>
      <c r="F20" s="20"/>
      <c r="G20" s="20">
        <f t="shared" si="3"/>
        <v>0</v>
      </c>
    </row>
    <row r="21" spans="1:7" ht="77.25" hidden="1" customHeight="1" x14ac:dyDescent="0.2">
      <c r="A21" s="4" t="s">
        <v>76</v>
      </c>
      <c r="B21" s="19" t="s">
        <v>16</v>
      </c>
      <c r="C21" s="20">
        <v>1360</v>
      </c>
      <c r="D21" s="20">
        <v>-1360</v>
      </c>
      <c r="E21" s="20">
        <f t="shared" si="2"/>
        <v>0</v>
      </c>
      <c r="F21" s="20"/>
      <c r="G21" s="20">
        <f t="shared" si="3"/>
        <v>0</v>
      </c>
    </row>
    <row r="22" spans="1:7" ht="72.599999999999994" hidden="1" customHeight="1" x14ac:dyDescent="0.2">
      <c r="A22" s="4" t="s">
        <v>17</v>
      </c>
      <c r="B22" s="19" t="s">
        <v>18</v>
      </c>
      <c r="C22" s="20">
        <v>0</v>
      </c>
      <c r="D22" s="20"/>
      <c r="E22" s="20">
        <f t="shared" si="2"/>
        <v>0</v>
      </c>
      <c r="F22" s="20"/>
      <c r="G22" s="20">
        <f t="shared" si="3"/>
        <v>0</v>
      </c>
    </row>
    <row r="23" spans="1:7" ht="66.75" hidden="1" customHeight="1" x14ac:dyDescent="0.2">
      <c r="A23" s="4" t="s">
        <v>77</v>
      </c>
      <c r="B23" s="19" t="s">
        <v>18</v>
      </c>
      <c r="C23" s="20">
        <v>241360</v>
      </c>
      <c r="D23" s="20">
        <v>-241360</v>
      </c>
      <c r="E23" s="20">
        <f t="shared" si="2"/>
        <v>0</v>
      </c>
      <c r="F23" s="20"/>
      <c r="G23" s="20">
        <f t="shared" si="3"/>
        <v>0</v>
      </c>
    </row>
    <row r="24" spans="1:7" ht="72.599999999999994" hidden="1" customHeight="1" x14ac:dyDescent="0.2">
      <c r="A24" s="4" t="s">
        <v>19</v>
      </c>
      <c r="B24" s="19" t="s">
        <v>20</v>
      </c>
      <c r="C24" s="20">
        <v>0</v>
      </c>
      <c r="D24" s="20"/>
      <c r="E24" s="20">
        <f t="shared" si="2"/>
        <v>0</v>
      </c>
      <c r="F24" s="20"/>
      <c r="G24" s="20">
        <f t="shared" si="3"/>
        <v>0</v>
      </c>
    </row>
    <row r="25" spans="1:7" ht="64.5" hidden="1" customHeight="1" x14ac:dyDescent="0.2">
      <c r="A25" s="4" t="s">
        <v>78</v>
      </c>
      <c r="B25" s="19" t="s">
        <v>20</v>
      </c>
      <c r="C25" s="20">
        <v>-25750</v>
      </c>
      <c r="D25" s="20">
        <v>25750</v>
      </c>
      <c r="E25" s="20">
        <f t="shared" si="2"/>
        <v>0</v>
      </c>
      <c r="F25" s="20"/>
      <c r="G25" s="20">
        <f t="shared" si="3"/>
        <v>0</v>
      </c>
    </row>
    <row r="26" spans="1:7" ht="64.5" customHeight="1" x14ac:dyDescent="0.2">
      <c r="A26" s="4" t="s">
        <v>107</v>
      </c>
      <c r="B26" s="19" t="s">
        <v>14</v>
      </c>
      <c r="C26" s="20"/>
      <c r="D26" s="20">
        <v>195250</v>
      </c>
      <c r="E26" s="20">
        <f t="shared" si="2"/>
        <v>195250</v>
      </c>
      <c r="F26" s="20"/>
      <c r="G26" s="20">
        <f t="shared" si="3"/>
        <v>195250</v>
      </c>
    </row>
    <row r="27" spans="1:7" ht="73.5" customHeight="1" x14ac:dyDescent="0.2">
      <c r="A27" s="4" t="s">
        <v>108</v>
      </c>
      <c r="B27" s="19" t="s">
        <v>16</v>
      </c>
      <c r="C27" s="20"/>
      <c r="D27" s="20">
        <v>1360</v>
      </c>
      <c r="E27" s="20">
        <f t="shared" si="2"/>
        <v>1360</v>
      </c>
      <c r="F27" s="20"/>
      <c r="G27" s="20">
        <f t="shared" si="3"/>
        <v>1360</v>
      </c>
    </row>
    <row r="28" spans="1:7" ht="75.75" customHeight="1" x14ac:dyDescent="0.2">
      <c r="A28" s="4" t="s">
        <v>109</v>
      </c>
      <c r="B28" s="19" t="s">
        <v>16</v>
      </c>
      <c r="C28" s="20"/>
      <c r="D28" s="20">
        <v>241360</v>
      </c>
      <c r="E28" s="20">
        <f t="shared" si="2"/>
        <v>241360</v>
      </c>
      <c r="F28" s="20"/>
      <c r="G28" s="20">
        <f t="shared" si="3"/>
        <v>241360</v>
      </c>
    </row>
    <row r="29" spans="1:7" ht="64.5" customHeight="1" x14ac:dyDescent="0.2">
      <c r="A29" s="4" t="s">
        <v>110</v>
      </c>
      <c r="B29" s="19" t="s">
        <v>18</v>
      </c>
      <c r="C29" s="20"/>
      <c r="D29" s="20">
        <v>-25750</v>
      </c>
      <c r="E29" s="20">
        <f t="shared" si="2"/>
        <v>-25750</v>
      </c>
      <c r="F29" s="20"/>
      <c r="G29" s="20">
        <f t="shared" si="3"/>
        <v>-25750</v>
      </c>
    </row>
    <row r="30" spans="1:7" ht="23.25" customHeight="1" x14ac:dyDescent="0.2">
      <c r="A30" s="5" t="s">
        <v>21</v>
      </c>
      <c r="B30" s="17" t="s">
        <v>22</v>
      </c>
      <c r="C30" s="18"/>
      <c r="D30" s="18"/>
      <c r="E30" s="18"/>
      <c r="F30" s="18"/>
      <c r="G30" s="18"/>
    </row>
    <row r="31" spans="1:7" ht="18.95" customHeight="1" x14ac:dyDescent="0.2">
      <c r="A31" s="4" t="s">
        <v>63</v>
      </c>
      <c r="B31" s="19" t="s">
        <v>23</v>
      </c>
      <c r="C31" s="20">
        <v>187000</v>
      </c>
      <c r="D31" s="20"/>
      <c r="E31" s="20">
        <f t="shared" si="2"/>
        <v>187000</v>
      </c>
      <c r="F31" s="20"/>
      <c r="G31" s="20">
        <f t="shared" si="3"/>
        <v>187000</v>
      </c>
    </row>
    <row r="32" spans="1:7" ht="16.7" customHeight="1" x14ac:dyDescent="0.2">
      <c r="A32" s="5" t="s">
        <v>24</v>
      </c>
      <c r="B32" s="17" t="s">
        <v>25</v>
      </c>
      <c r="C32" s="18"/>
      <c r="D32" s="18"/>
      <c r="E32" s="18"/>
      <c r="F32" s="18"/>
      <c r="G32" s="18"/>
    </row>
    <row r="33" spans="1:49" ht="43.35" customHeight="1" x14ac:dyDescent="0.2">
      <c r="A33" s="4" t="s">
        <v>53</v>
      </c>
      <c r="B33" s="19" t="s">
        <v>26</v>
      </c>
      <c r="C33" s="20">
        <v>412000</v>
      </c>
      <c r="D33" s="20"/>
      <c r="E33" s="20">
        <f t="shared" si="2"/>
        <v>412000</v>
      </c>
      <c r="F33" s="20"/>
      <c r="G33" s="20">
        <f t="shared" si="3"/>
        <v>412000</v>
      </c>
    </row>
    <row r="34" spans="1:49" ht="57.6" customHeight="1" x14ac:dyDescent="0.2">
      <c r="A34" s="4" t="s">
        <v>50</v>
      </c>
      <c r="B34" s="19" t="s">
        <v>27</v>
      </c>
      <c r="C34" s="20">
        <v>60000</v>
      </c>
      <c r="D34" s="20"/>
      <c r="E34" s="20">
        <f t="shared" si="2"/>
        <v>60000</v>
      </c>
      <c r="F34" s="20"/>
      <c r="G34" s="20">
        <f t="shared" si="3"/>
        <v>60000</v>
      </c>
    </row>
    <row r="35" spans="1:49" ht="57.6" customHeight="1" x14ac:dyDescent="0.2">
      <c r="A35" s="4" t="s">
        <v>51</v>
      </c>
      <c r="B35" s="19" t="s">
        <v>28</v>
      </c>
      <c r="C35" s="20">
        <v>7850180</v>
      </c>
      <c r="D35" s="20"/>
      <c r="E35" s="20">
        <f t="shared" si="2"/>
        <v>7850180</v>
      </c>
      <c r="F35" s="20"/>
      <c r="G35" s="20">
        <f t="shared" si="3"/>
        <v>7850180</v>
      </c>
    </row>
    <row r="36" spans="1:49" ht="30" customHeight="1" x14ac:dyDescent="0.2">
      <c r="A36" s="5" t="s">
        <v>29</v>
      </c>
      <c r="B36" s="17" t="s">
        <v>30</v>
      </c>
      <c r="C36" s="18"/>
      <c r="D36" s="18"/>
      <c r="E36" s="18"/>
      <c r="F36" s="18"/>
      <c r="G36" s="18"/>
    </row>
    <row r="37" spans="1:49" ht="64.5" customHeight="1" x14ac:dyDescent="0.2">
      <c r="A37" s="4" t="s">
        <v>31</v>
      </c>
      <c r="B37" s="19" t="s">
        <v>32</v>
      </c>
      <c r="C37" s="20">
        <v>12000</v>
      </c>
      <c r="D37" s="20"/>
      <c r="E37" s="20">
        <f t="shared" si="2"/>
        <v>12000</v>
      </c>
      <c r="F37" s="20"/>
      <c r="G37" s="20">
        <f t="shared" si="3"/>
        <v>12000</v>
      </c>
    </row>
    <row r="38" spans="1:49" ht="72.599999999999994" customHeight="1" x14ac:dyDescent="0.2">
      <c r="A38" s="4" t="s">
        <v>84</v>
      </c>
      <c r="B38" s="19" t="s">
        <v>85</v>
      </c>
      <c r="C38" s="20">
        <v>15000</v>
      </c>
      <c r="D38" s="20"/>
      <c r="E38" s="20">
        <f t="shared" si="2"/>
        <v>15000</v>
      </c>
      <c r="F38" s="20"/>
      <c r="G38" s="20">
        <f t="shared" si="3"/>
        <v>15000</v>
      </c>
    </row>
    <row r="39" spans="1:49" ht="14.25" customHeight="1" x14ac:dyDescent="0.2">
      <c r="A39" s="4" t="s">
        <v>0</v>
      </c>
      <c r="B39" s="17" t="s">
        <v>33</v>
      </c>
      <c r="C39" s="18"/>
      <c r="D39" s="18"/>
      <c r="E39" s="18"/>
      <c r="F39" s="18"/>
      <c r="G39" s="18"/>
    </row>
    <row r="40" spans="1:49" ht="43.35" customHeight="1" x14ac:dyDescent="0.2">
      <c r="A40" s="5" t="s">
        <v>34</v>
      </c>
      <c r="B40" s="17" t="s">
        <v>35</v>
      </c>
      <c r="C40" s="18"/>
      <c r="D40" s="18"/>
      <c r="E40" s="18"/>
      <c r="F40" s="18"/>
      <c r="G40" s="18"/>
    </row>
    <row r="41" spans="1:49" s="23" customFormat="1" ht="65.25" customHeight="1" x14ac:dyDescent="0.2">
      <c r="A41" s="4" t="s">
        <v>36</v>
      </c>
      <c r="B41" s="19" t="s">
        <v>93</v>
      </c>
      <c r="C41" s="20">
        <v>1947050</v>
      </c>
      <c r="D41" s="20"/>
      <c r="E41" s="20">
        <f t="shared" si="2"/>
        <v>1947050</v>
      </c>
      <c r="F41" s="20"/>
      <c r="G41" s="20">
        <f t="shared" ref="G41:G43" si="4">E41+F41</f>
        <v>1947050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</row>
    <row r="42" spans="1:49" ht="27" customHeight="1" x14ac:dyDescent="0.2">
      <c r="A42" s="4" t="s">
        <v>87</v>
      </c>
      <c r="B42" s="19" t="s">
        <v>86</v>
      </c>
      <c r="C42" s="20">
        <v>4478000</v>
      </c>
      <c r="D42" s="20">
        <v>534735.37</v>
      </c>
      <c r="E42" s="20">
        <f t="shared" si="2"/>
        <v>5012735.37</v>
      </c>
      <c r="F42" s="20"/>
      <c r="G42" s="20">
        <f t="shared" si="4"/>
        <v>5012735.37</v>
      </c>
    </row>
    <row r="43" spans="1:49" ht="65.25" customHeight="1" x14ac:dyDescent="0.2">
      <c r="A43" s="4" t="s">
        <v>49</v>
      </c>
      <c r="B43" s="19" t="s">
        <v>37</v>
      </c>
      <c r="C43" s="20">
        <v>500000</v>
      </c>
      <c r="D43" s="20"/>
      <c r="E43" s="20">
        <f t="shared" si="2"/>
        <v>500000</v>
      </c>
      <c r="F43" s="20"/>
      <c r="G43" s="20">
        <f t="shared" si="4"/>
        <v>500000</v>
      </c>
      <c r="H43" s="45"/>
    </row>
    <row r="44" spans="1:49" ht="28.9" customHeight="1" x14ac:dyDescent="0.2">
      <c r="A44" s="5" t="s">
        <v>38</v>
      </c>
      <c r="B44" s="17" t="s">
        <v>39</v>
      </c>
      <c r="C44" s="18"/>
      <c r="D44" s="18"/>
      <c r="E44" s="18"/>
      <c r="F44" s="18"/>
      <c r="G44" s="18"/>
      <c r="H44" s="46"/>
    </row>
    <row r="45" spans="1:49" ht="28.9" hidden="1" customHeight="1" x14ac:dyDescent="0.2">
      <c r="A45" s="4" t="s">
        <v>52</v>
      </c>
      <c r="B45" s="19" t="s">
        <v>40</v>
      </c>
      <c r="C45" s="20">
        <v>0</v>
      </c>
      <c r="D45" s="20"/>
      <c r="E45" s="18">
        <f t="shared" si="2"/>
        <v>0</v>
      </c>
      <c r="F45" s="18"/>
      <c r="G45" s="18">
        <f>E45+D45</f>
        <v>0</v>
      </c>
    </row>
    <row r="46" spans="1:49" ht="39" customHeight="1" x14ac:dyDescent="0.2">
      <c r="A46" s="4" t="s">
        <v>55</v>
      </c>
      <c r="B46" s="19" t="s">
        <v>56</v>
      </c>
      <c r="C46" s="20">
        <v>9915953.8800000008</v>
      </c>
      <c r="D46" s="20"/>
      <c r="E46" s="20">
        <f t="shared" si="2"/>
        <v>9915953.8800000008</v>
      </c>
      <c r="F46" s="20"/>
      <c r="G46" s="20">
        <f t="shared" ref="G46:G49" si="5">E46+F46</f>
        <v>9915953.8800000008</v>
      </c>
    </row>
    <row r="47" spans="1:49" ht="17.25" customHeight="1" x14ac:dyDescent="0.2">
      <c r="A47" s="43" t="s">
        <v>61</v>
      </c>
      <c r="B47" s="42" t="s">
        <v>62</v>
      </c>
      <c r="C47" s="20">
        <v>0</v>
      </c>
      <c r="D47" s="44">
        <v>733867.43</v>
      </c>
      <c r="E47" s="20">
        <f t="shared" si="2"/>
        <v>733867.43</v>
      </c>
      <c r="F47" s="20"/>
      <c r="G47" s="20">
        <f t="shared" si="5"/>
        <v>733867.43</v>
      </c>
    </row>
    <row r="48" spans="1:49" ht="35.25" customHeight="1" x14ac:dyDescent="0.2">
      <c r="A48" s="5" t="s">
        <v>59</v>
      </c>
      <c r="B48" s="24" t="s">
        <v>58</v>
      </c>
      <c r="C48" s="18"/>
      <c r="D48" s="18"/>
      <c r="E48" s="18"/>
      <c r="F48" s="18"/>
      <c r="G48" s="18"/>
    </row>
    <row r="49" spans="1:8" ht="64.5" customHeight="1" x14ac:dyDescent="0.2">
      <c r="A49" s="4" t="s">
        <v>57</v>
      </c>
      <c r="B49" s="25" t="s">
        <v>60</v>
      </c>
      <c r="C49" s="20">
        <v>514340</v>
      </c>
      <c r="D49" s="20"/>
      <c r="E49" s="20">
        <f t="shared" si="2"/>
        <v>514340</v>
      </c>
      <c r="F49" s="20"/>
      <c r="G49" s="20">
        <f t="shared" si="5"/>
        <v>514340</v>
      </c>
    </row>
    <row r="50" spans="1:8" ht="21" hidden="1" customHeight="1" x14ac:dyDescent="0.2">
      <c r="A50" s="5" t="s">
        <v>66</v>
      </c>
      <c r="B50" s="24" t="s">
        <v>64</v>
      </c>
      <c r="C50" s="26">
        <f>C51</f>
        <v>0</v>
      </c>
      <c r="D50" s="26"/>
      <c r="E50" s="18">
        <f t="shared" si="2"/>
        <v>0</v>
      </c>
      <c r="F50" s="18"/>
      <c r="G50" s="18">
        <f>E50+D50</f>
        <v>0</v>
      </c>
    </row>
    <row r="51" spans="1:8" ht="21" hidden="1" customHeight="1" x14ac:dyDescent="0.2">
      <c r="A51" s="4" t="s">
        <v>67</v>
      </c>
      <c r="B51" s="27" t="s">
        <v>65</v>
      </c>
      <c r="C51" s="20">
        <v>0</v>
      </c>
      <c r="D51" s="20"/>
      <c r="E51" s="18">
        <f t="shared" si="2"/>
        <v>0</v>
      </c>
      <c r="F51" s="18"/>
      <c r="G51" s="18">
        <f>E51+D51</f>
        <v>0</v>
      </c>
    </row>
    <row r="52" spans="1:8" ht="18.399999999999999" customHeight="1" x14ac:dyDescent="0.2">
      <c r="A52" s="4" t="s">
        <v>0</v>
      </c>
      <c r="B52" s="17" t="s">
        <v>41</v>
      </c>
      <c r="C52" s="18">
        <f t="shared" ref="C52:D52" si="6">SUM(C53:C92)</f>
        <v>120202804.54000001</v>
      </c>
      <c r="D52" s="18">
        <f t="shared" si="6"/>
        <v>67778485.849999994</v>
      </c>
      <c r="E52" s="18">
        <f>SUM(E53:E92)</f>
        <v>187981290.38999999</v>
      </c>
      <c r="F52" s="18">
        <f t="shared" ref="F52:G52" si="7">SUM(F53:F92)</f>
        <v>4092052.4600000009</v>
      </c>
      <c r="G52" s="18">
        <f t="shared" si="7"/>
        <v>192073342.84999996</v>
      </c>
      <c r="H52" s="11">
        <v>192073342.84999999</v>
      </c>
    </row>
    <row r="53" spans="1:8" ht="43.35" customHeight="1" x14ac:dyDescent="0.2">
      <c r="A53" s="5" t="s">
        <v>42</v>
      </c>
      <c r="B53" s="17" t="s">
        <v>43</v>
      </c>
      <c r="C53" s="18"/>
      <c r="D53" s="18"/>
      <c r="E53" s="18"/>
      <c r="F53" s="18"/>
      <c r="G53" s="18"/>
    </row>
    <row r="54" spans="1:8" ht="28.9" customHeight="1" x14ac:dyDescent="0.2">
      <c r="A54" s="5" t="s">
        <v>68</v>
      </c>
      <c r="B54" s="17" t="s">
        <v>44</v>
      </c>
      <c r="C54" s="18"/>
      <c r="D54" s="18"/>
      <c r="E54" s="18"/>
      <c r="F54" s="18"/>
      <c r="G54" s="18"/>
    </row>
    <row r="55" spans="1:8" ht="28.9" customHeight="1" x14ac:dyDescent="0.2">
      <c r="A55" s="4" t="s">
        <v>69</v>
      </c>
      <c r="B55" s="19" t="s">
        <v>45</v>
      </c>
      <c r="C55" s="20">
        <v>93810610</v>
      </c>
      <c r="D55" s="20"/>
      <c r="E55" s="20">
        <f t="shared" si="2"/>
        <v>93810610</v>
      </c>
      <c r="F55" s="20"/>
      <c r="G55" s="20">
        <f t="shared" ref="G55:G58" si="8">E55+F55</f>
        <v>93810610</v>
      </c>
      <c r="H55" s="10"/>
    </row>
    <row r="56" spans="1:8" ht="28.9" customHeight="1" x14ac:dyDescent="0.2">
      <c r="A56" s="4" t="s">
        <v>74</v>
      </c>
      <c r="B56" s="19" t="s">
        <v>54</v>
      </c>
      <c r="C56" s="20">
        <v>0</v>
      </c>
      <c r="D56" s="20">
        <v>7000000</v>
      </c>
      <c r="E56" s="20">
        <f t="shared" si="2"/>
        <v>7000000</v>
      </c>
      <c r="F56" s="20"/>
      <c r="G56" s="20">
        <f t="shared" si="8"/>
        <v>7000000</v>
      </c>
    </row>
    <row r="57" spans="1:8" ht="51" x14ac:dyDescent="0.2">
      <c r="A57" s="4" t="s">
        <v>74</v>
      </c>
      <c r="B57" s="1" t="s">
        <v>111</v>
      </c>
      <c r="C57" s="20">
        <v>0</v>
      </c>
      <c r="D57" s="20">
        <f>1227755.39+17993.43</f>
        <v>1245748.8199999998</v>
      </c>
      <c r="E57" s="20">
        <f t="shared" si="2"/>
        <v>1245748.8199999998</v>
      </c>
      <c r="F57" s="20">
        <v>2066295</v>
      </c>
      <c r="G57" s="20">
        <f t="shared" si="8"/>
        <v>3312043.82</v>
      </c>
    </row>
    <row r="58" spans="1:8" ht="0.75" customHeight="1" x14ac:dyDescent="0.2">
      <c r="A58" s="4" t="s">
        <v>74</v>
      </c>
      <c r="B58" s="41" t="s">
        <v>137</v>
      </c>
      <c r="C58" s="20">
        <f>SUM(C59)</f>
        <v>0</v>
      </c>
      <c r="D58" s="20"/>
      <c r="E58" s="20">
        <f t="shared" si="2"/>
        <v>0</v>
      </c>
      <c r="F58" s="20"/>
      <c r="G58" s="20">
        <f t="shared" si="8"/>
        <v>0</v>
      </c>
    </row>
    <row r="59" spans="1:8" ht="28.9" hidden="1" customHeight="1" x14ac:dyDescent="0.2">
      <c r="A59" s="4" t="s">
        <v>74</v>
      </c>
      <c r="B59" s="19" t="s">
        <v>101</v>
      </c>
      <c r="C59" s="20"/>
      <c r="D59" s="20"/>
      <c r="E59" s="20">
        <f t="shared" si="2"/>
        <v>0</v>
      </c>
      <c r="F59" s="20"/>
      <c r="G59" s="20">
        <f>E59+D59</f>
        <v>0</v>
      </c>
    </row>
    <row r="60" spans="1:8" ht="28.9" customHeight="1" x14ac:dyDescent="0.2">
      <c r="A60" s="2" t="s">
        <v>114</v>
      </c>
      <c r="B60" s="28" t="s">
        <v>113</v>
      </c>
      <c r="C60" s="18"/>
      <c r="D60" s="18"/>
      <c r="E60" s="18"/>
      <c r="F60" s="18"/>
      <c r="G60" s="18"/>
    </row>
    <row r="61" spans="1:8" ht="51" x14ac:dyDescent="0.2">
      <c r="A61" s="6" t="s">
        <v>132</v>
      </c>
      <c r="B61" s="13" t="s">
        <v>112</v>
      </c>
      <c r="C61" s="20"/>
      <c r="D61" s="20">
        <v>185600</v>
      </c>
      <c r="E61" s="20">
        <f t="shared" si="2"/>
        <v>185600</v>
      </c>
      <c r="F61" s="20"/>
      <c r="G61" s="20">
        <f t="shared" ref="G61:G67" si="9">E61+F61</f>
        <v>185600</v>
      </c>
    </row>
    <row r="62" spans="1:8" ht="28.9" customHeight="1" x14ac:dyDescent="0.2">
      <c r="A62" s="5" t="s">
        <v>70</v>
      </c>
      <c r="B62" s="17" t="s">
        <v>46</v>
      </c>
      <c r="C62" s="18"/>
      <c r="D62" s="18"/>
      <c r="E62" s="18"/>
      <c r="F62" s="18"/>
      <c r="G62" s="18"/>
    </row>
    <row r="63" spans="1:8" ht="39" customHeight="1" x14ac:dyDescent="0.2">
      <c r="A63" s="4" t="s">
        <v>72</v>
      </c>
      <c r="B63" s="19" t="s">
        <v>79</v>
      </c>
      <c r="C63" s="20">
        <v>1083600</v>
      </c>
      <c r="D63" s="20"/>
      <c r="E63" s="20">
        <f t="shared" si="2"/>
        <v>1083600</v>
      </c>
      <c r="F63" s="20"/>
      <c r="G63" s="20">
        <f t="shared" si="9"/>
        <v>1083600</v>
      </c>
    </row>
    <row r="64" spans="1:8" ht="28.9" customHeight="1" x14ac:dyDescent="0.2">
      <c r="A64" s="4" t="s">
        <v>71</v>
      </c>
      <c r="B64" s="19" t="s">
        <v>80</v>
      </c>
      <c r="C64" s="20">
        <v>27100</v>
      </c>
      <c r="D64" s="20"/>
      <c r="E64" s="20">
        <f t="shared" si="2"/>
        <v>27100</v>
      </c>
      <c r="F64" s="20">
        <v>-5100</v>
      </c>
      <c r="G64" s="20">
        <f t="shared" si="9"/>
        <v>22000</v>
      </c>
    </row>
    <row r="65" spans="1:7" ht="51" x14ac:dyDescent="0.2">
      <c r="A65" s="6" t="s">
        <v>116</v>
      </c>
      <c r="B65" s="13" t="s">
        <v>115</v>
      </c>
      <c r="C65" s="20"/>
      <c r="D65" s="20">
        <v>130995.26</v>
      </c>
      <c r="E65" s="20">
        <f t="shared" si="2"/>
        <v>130995.26</v>
      </c>
      <c r="F65" s="20">
        <v>-26199.02</v>
      </c>
      <c r="G65" s="20">
        <f t="shared" si="9"/>
        <v>104796.23999999999</v>
      </c>
    </row>
    <row r="66" spans="1:7" ht="25.5" x14ac:dyDescent="0.2">
      <c r="A66" s="5" t="s">
        <v>73</v>
      </c>
      <c r="B66" s="28" t="s">
        <v>117</v>
      </c>
      <c r="C66" s="18"/>
      <c r="D66" s="18"/>
      <c r="E66" s="18"/>
      <c r="F66" s="18"/>
      <c r="G66" s="18"/>
    </row>
    <row r="67" spans="1:7" ht="63.75" x14ac:dyDescent="0.2">
      <c r="A67" s="4" t="s">
        <v>104</v>
      </c>
      <c r="B67" s="29" t="s">
        <v>103</v>
      </c>
      <c r="C67" s="20"/>
      <c r="D67" s="20">
        <v>267000</v>
      </c>
      <c r="E67" s="20">
        <f t="shared" si="2"/>
        <v>267000</v>
      </c>
      <c r="F67" s="20"/>
      <c r="G67" s="20">
        <f t="shared" si="9"/>
        <v>267000</v>
      </c>
    </row>
    <row r="68" spans="1:7" ht="28.9" customHeight="1" x14ac:dyDescent="0.2">
      <c r="A68" s="4"/>
      <c r="B68" s="17" t="s">
        <v>118</v>
      </c>
      <c r="C68" s="18"/>
      <c r="D68" s="18"/>
      <c r="E68" s="18"/>
      <c r="F68" s="18"/>
      <c r="G68" s="18"/>
    </row>
    <row r="69" spans="1:7" ht="16.7" customHeight="1" x14ac:dyDescent="0.2">
      <c r="A69" s="5" t="s">
        <v>73</v>
      </c>
      <c r="B69" s="17" t="s">
        <v>47</v>
      </c>
      <c r="C69" s="30"/>
      <c r="D69" s="30"/>
      <c r="E69" s="30"/>
      <c r="F69" s="30"/>
      <c r="G69" s="30"/>
    </row>
    <row r="70" spans="1:7" ht="93" customHeight="1" x14ac:dyDescent="0.2">
      <c r="A70" s="6" t="s">
        <v>102</v>
      </c>
      <c r="B70" s="19" t="s">
        <v>136</v>
      </c>
      <c r="C70" s="31">
        <v>265792.5</v>
      </c>
      <c r="D70" s="31"/>
      <c r="E70" s="20">
        <f t="shared" si="2"/>
        <v>265792.5</v>
      </c>
      <c r="F70" s="20">
        <v>-32481.5</v>
      </c>
      <c r="G70" s="20">
        <f t="shared" ref="G70:G94" si="10">E70+F70</f>
        <v>233311</v>
      </c>
    </row>
    <row r="71" spans="1:7" ht="65.25" customHeight="1" x14ac:dyDescent="0.2">
      <c r="A71" s="6" t="s">
        <v>102</v>
      </c>
      <c r="B71" s="19" t="s">
        <v>95</v>
      </c>
      <c r="C71" s="31">
        <v>3500000</v>
      </c>
      <c r="D71" s="31"/>
      <c r="E71" s="20">
        <f t="shared" si="2"/>
        <v>3500000</v>
      </c>
      <c r="F71" s="20"/>
      <c r="G71" s="20">
        <f t="shared" si="10"/>
        <v>3500000</v>
      </c>
    </row>
    <row r="72" spans="1:7" ht="76.5" customHeight="1" x14ac:dyDescent="0.2">
      <c r="A72" s="6" t="s">
        <v>102</v>
      </c>
      <c r="B72" s="19" t="s">
        <v>94</v>
      </c>
      <c r="C72" s="20">
        <v>2220833.14</v>
      </c>
      <c r="D72" s="20">
        <v>-729076.54</v>
      </c>
      <c r="E72" s="20">
        <f t="shared" si="2"/>
        <v>1491756.6</v>
      </c>
      <c r="F72" s="20"/>
      <c r="G72" s="20">
        <f t="shared" si="10"/>
        <v>1491756.6</v>
      </c>
    </row>
    <row r="73" spans="1:7" ht="76.5" customHeight="1" x14ac:dyDescent="0.2">
      <c r="A73" s="6" t="s">
        <v>102</v>
      </c>
      <c r="B73" s="27" t="s">
        <v>96</v>
      </c>
      <c r="C73" s="20">
        <v>6929538.4000000004</v>
      </c>
      <c r="D73" s="20"/>
      <c r="E73" s="20">
        <f t="shared" si="2"/>
        <v>6929538.4000000004</v>
      </c>
      <c r="F73" s="20"/>
      <c r="G73" s="20">
        <f t="shared" si="10"/>
        <v>6929538.4000000004</v>
      </c>
    </row>
    <row r="74" spans="1:7" ht="76.5" customHeight="1" x14ac:dyDescent="0.2">
      <c r="A74" s="6" t="s">
        <v>102</v>
      </c>
      <c r="B74" s="19" t="s">
        <v>97</v>
      </c>
      <c r="C74" s="20">
        <v>300000</v>
      </c>
      <c r="D74" s="20"/>
      <c r="E74" s="20">
        <f t="shared" si="2"/>
        <v>300000</v>
      </c>
      <c r="F74" s="20">
        <v>-200000</v>
      </c>
      <c r="G74" s="20">
        <f t="shared" si="10"/>
        <v>100000</v>
      </c>
    </row>
    <row r="75" spans="1:7" ht="76.5" customHeight="1" x14ac:dyDescent="0.2">
      <c r="A75" s="6" t="s">
        <v>102</v>
      </c>
      <c r="B75" s="27" t="s">
        <v>98</v>
      </c>
      <c r="C75" s="20">
        <v>5518708.7999999998</v>
      </c>
      <c r="D75" s="20"/>
      <c r="E75" s="20">
        <f t="shared" ref="E75:E95" si="11">D75+C75</f>
        <v>5518708.7999999998</v>
      </c>
      <c r="F75" s="20">
        <v>-798474.6</v>
      </c>
      <c r="G75" s="20">
        <f t="shared" si="10"/>
        <v>4720234.2</v>
      </c>
    </row>
    <row r="76" spans="1:7" ht="67.5" customHeight="1" x14ac:dyDescent="0.2">
      <c r="A76" s="6" t="s">
        <v>102</v>
      </c>
      <c r="B76" s="19" t="s">
        <v>88</v>
      </c>
      <c r="C76" s="20">
        <v>630000</v>
      </c>
      <c r="D76" s="20"/>
      <c r="E76" s="20">
        <f t="shared" si="11"/>
        <v>630000</v>
      </c>
      <c r="F76" s="20">
        <v>-280000</v>
      </c>
      <c r="G76" s="20">
        <f t="shared" si="10"/>
        <v>350000</v>
      </c>
    </row>
    <row r="77" spans="1:7" ht="66.75" customHeight="1" x14ac:dyDescent="0.2">
      <c r="A77" s="6" t="s">
        <v>102</v>
      </c>
      <c r="B77" s="27" t="s">
        <v>99</v>
      </c>
      <c r="C77" s="20">
        <v>4824000</v>
      </c>
      <c r="D77" s="20"/>
      <c r="E77" s="20">
        <f t="shared" si="11"/>
        <v>4824000</v>
      </c>
      <c r="F77" s="20">
        <v>2196500</v>
      </c>
      <c r="G77" s="20">
        <f t="shared" si="10"/>
        <v>7020500</v>
      </c>
    </row>
    <row r="78" spans="1:7" ht="67.5" customHeight="1" x14ac:dyDescent="0.2">
      <c r="A78" s="6" t="s">
        <v>102</v>
      </c>
      <c r="B78" s="19" t="s">
        <v>89</v>
      </c>
      <c r="C78" s="20">
        <v>1092621.7</v>
      </c>
      <c r="D78" s="20"/>
      <c r="E78" s="20">
        <f t="shared" si="11"/>
        <v>1092621.7</v>
      </c>
      <c r="F78" s="20"/>
      <c r="G78" s="20">
        <f t="shared" si="10"/>
        <v>1092621.7</v>
      </c>
    </row>
    <row r="79" spans="1:7" ht="36" customHeight="1" x14ac:dyDescent="0.2">
      <c r="A79" s="6" t="s">
        <v>102</v>
      </c>
      <c r="B79" s="13" t="s">
        <v>119</v>
      </c>
      <c r="C79" s="20"/>
      <c r="D79" s="20">
        <v>3000000</v>
      </c>
      <c r="E79" s="20">
        <f t="shared" si="11"/>
        <v>3000000</v>
      </c>
      <c r="F79" s="20"/>
      <c r="G79" s="20">
        <f t="shared" si="10"/>
        <v>3000000</v>
      </c>
    </row>
    <row r="80" spans="1:7" ht="25.5" customHeight="1" x14ac:dyDescent="0.2">
      <c r="A80" s="6" t="s">
        <v>102</v>
      </c>
      <c r="B80" s="32" t="s">
        <v>120</v>
      </c>
      <c r="C80" s="20"/>
      <c r="D80" s="20">
        <v>436053.94</v>
      </c>
      <c r="E80" s="20">
        <f t="shared" si="11"/>
        <v>436053.94</v>
      </c>
      <c r="F80" s="20"/>
      <c r="G80" s="20">
        <f t="shared" si="10"/>
        <v>436053.94</v>
      </c>
    </row>
    <row r="81" spans="1:7" ht="42" customHeight="1" x14ac:dyDescent="0.2">
      <c r="A81" s="6" t="s">
        <v>102</v>
      </c>
      <c r="B81" s="33" t="s">
        <v>121</v>
      </c>
      <c r="C81" s="20"/>
      <c r="D81" s="20">
        <v>35000000</v>
      </c>
      <c r="E81" s="20">
        <f t="shared" si="11"/>
        <v>35000000</v>
      </c>
      <c r="F81" s="20">
        <v>11191114.800000001</v>
      </c>
      <c r="G81" s="20">
        <f t="shared" si="10"/>
        <v>46191114.799999997</v>
      </c>
    </row>
    <row r="82" spans="1:7" ht="47.25" customHeight="1" x14ac:dyDescent="0.2">
      <c r="A82" s="6" t="s">
        <v>102</v>
      </c>
      <c r="B82" s="33" t="s">
        <v>122</v>
      </c>
      <c r="C82" s="20"/>
      <c r="D82" s="20">
        <v>140000</v>
      </c>
      <c r="E82" s="20">
        <f t="shared" si="11"/>
        <v>140000</v>
      </c>
      <c r="F82" s="20"/>
      <c r="G82" s="20">
        <f t="shared" si="10"/>
        <v>140000</v>
      </c>
    </row>
    <row r="83" spans="1:7" ht="38.25" x14ac:dyDescent="0.2">
      <c r="A83" s="6" t="s">
        <v>102</v>
      </c>
      <c r="B83" s="32" t="s">
        <v>123</v>
      </c>
      <c r="C83" s="20"/>
      <c r="D83" s="20">
        <v>3405607.72</v>
      </c>
      <c r="E83" s="20">
        <f t="shared" si="11"/>
        <v>3405607.72</v>
      </c>
      <c r="F83" s="20">
        <v>398222.57</v>
      </c>
      <c r="G83" s="20">
        <f t="shared" si="10"/>
        <v>3803830.29</v>
      </c>
    </row>
    <row r="84" spans="1:7" ht="38.25" x14ac:dyDescent="0.2">
      <c r="A84" s="6" t="s">
        <v>102</v>
      </c>
      <c r="B84" s="32" t="s">
        <v>124</v>
      </c>
      <c r="C84" s="20"/>
      <c r="D84" s="12">
        <v>4855971.72</v>
      </c>
      <c r="E84" s="20">
        <f t="shared" si="11"/>
        <v>4855971.72</v>
      </c>
      <c r="F84" s="20">
        <v>-24279.86</v>
      </c>
      <c r="G84" s="20">
        <f t="shared" si="10"/>
        <v>4831691.8599999994</v>
      </c>
    </row>
    <row r="85" spans="1:7" ht="89.25" x14ac:dyDescent="0.2">
      <c r="A85" s="6" t="s">
        <v>102</v>
      </c>
      <c r="B85" s="32" t="s">
        <v>125</v>
      </c>
      <c r="C85" s="20"/>
      <c r="D85" s="39">
        <v>192000</v>
      </c>
      <c r="E85" s="20">
        <f t="shared" si="11"/>
        <v>192000</v>
      </c>
      <c r="F85" s="20"/>
      <c r="G85" s="20">
        <f t="shared" si="10"/>
        <v>192000</v>
      </c>
    </row>
    <row r="86" spans="1:7" ht="51" x14ac:dyDescent="0.2">
      <c r="A86" s="6" t="s">
        <v>102</v>
      </c>
      <c r="B86" s="32" t="s">
        <v>126</v>
      </c>
      <c r="C86" s="20"/>
      <c r="D86" s="20">
        <v>1122000</v>
      </c>
      <c r="E86" s="20">
        <f t="shared" si="11"/>
        <v>1122000</v>
      </c>
      <c r="F86" s="20"/>
      <c r="G86" s="20">
        <f t="shared" si="10"/>
        <v>1122000</v>
      </c>
    </row>
    <row r="87" spans="1:7" ht="51" x14ac:dyDescent="0.2">
      <c r="A87" s="6" t="s">
        <v>102</v>
      </c>
      <c r="B87" s="32" t="s">
        <v>127</v>
      </c>
      <c r="C87" s="20"/>
      <c r="D87" s="12">
        <v>5104011.5999999996</v>
      </c>
      <c r="E87" s="20">
        <f t="shared" si="11"/>
        <v>5104011.5999999996</v>
      </c>
      <c r="F87" s="20">
        <v>-5104011.5999999996</v>
      </c>
      <c r="G87" s="20">
        <f t="shared" si="10"/>
        <v>0</v>
      </c>
    </row>
    <row r="88" spans="1:7" ht="63.75" x14ac:dyDescent="0.2">
      <c r="A88" s="6" t="s">
        <v>102</v>
      </c>
      <c r="B88" s="32" t="s">
        <v>128</v>
      </c>
      <c r="C88" s="20"/>
      <c r="D88" s="12">
        <v>5289533.33</v>
      </c>
      <c r="E88" s="20">
        <f t="shared" si="11"/>
        <v>5289533.33</v>
      </c>
      <c r="F88" s="20">
        <v>-5289533.33</v>
      </c>
      <c r="G88" s="20">
        <f t="shared" si="10"/>
        <v>0</v>
      </c>
    </row>
    <row r="89" spans="1:7" ht="25.5" x14ac:dyDescent="0.2">
      <c r="A89" s="6" t="s">
        <v>102</v>
      </c>
      <c r="B89" s="32" t="s">
        <v>129</v>
      </c>
      <c r="C89" s="20"/>
      <c r="D89" s="12">
        <v>714640</v>
      </c>
      <c r="E89" s="20">
        <f t="shared" si="11"/>
        <v>714640</v>
      </c>
      <c r="F89" s="20"/>
      <c r="G89" s="20">
        <f t="shared" si="10"/>
        <v>714640</v>
      </c>
    </row>
    <row r="90" spans="1:7" ht="63.75" x14ac:dyDescent="0.2">
      <c r="A90" s="6" t="s">
        <v>102</v>
      </c>
      <c r="B90" s="32" t="s">
        <v>103</v>
      </c>
      <c r="C90" s="20"/>
      <c r="D90" s="12">
        <v>314000</v>
      </c>
      <c r="E90" s="20">
        <f t="shared" si="11"/>
        <v>314000</v>
      </c>
      <c r="F90" s="20"/>
      <c r="G90" s="20">
        <f t="shared" si="10"/>
        <v>314000</v>
      </c>
    </row>
    <row r="91" spans="1:7" ht="20.25" hidden="1" customHeight="1" x14ac:dyDescent="0.2">
      <c r="A91" s="6" t="s">
        <v>102</v>
      </c>
      <c r="B91" s="28"/>
      <c r="C91" s="20"/>
      <c r="D91" s="18"/>
      <c r="E91" s="20">
        <f t="shared" si="11"/>
        <v>0</v>
      </c>
      <c r="F91" s="20"/>
      <c r="G91" s="20">
        <f t="shared" si="10"/>
        <v>0</v>
      </c>
    </row>
    <row r="92" spans="1:7" ht="53.25" customHeight="1" x14ac:dyDescent="0.2">
      <c r="A92" s="6" t="s">
        <v>102</v>
      </c>
      <c r="B92" s="13" t="s">
        <v>131</v>
      </c>
      <c r="C92" s="20"/>
      <c r="D92" s="20">
        <v>104400</v>
      </c>
      <c r="E92" s="20">
        <f t="shared" si="11"/>
        <v>104400</v>
      </c>
      <c r="F92" s="20"/>
      <c r="G92" s="20">
        <f t="shared" si="10"/>
        <v>104400</v>
      </c>
    </row>
    <row r="93" spans="1:7" ht="45.75" customHeight="1" x14ac:dyDescent="0.2">
      <c r="A93" s="40" t="s">
        <v>134</v>
      </c>
      <c r="B93" s="17" t="s">
        <v>133</v>
      </c>
      <c r="C93" s="18"/>
      <c r="D93" s="18"/>
      <c r="E93" s="18"/>
      <c r="F93" s="18"/>
      <c r="G93" s="18"/>
    </row>
    <row r="94" spans="1:7" ht="61.5" customHeight="1" x14ac:dyDescent="0.2">
      <c r="A94" s="4" t="s">
        <v>135</v>
      </c>
      <c r="B94" s="19" t="s">
        <v>130</v>
      </c>
      <c r="C94" s="20"/>
      <c r="D94" s="20">
        <v>-1125344</v>
      </c>
      <c r="E94" s="20">
        <f t="shared" si="11"/>
        <v>-1125344</v>
      </c>
      <c r="F94" s="20"/>
      <c r="G94" s="20">
        <f t="shared" si="10"/>
        <v>-1125344</v>
      </c>
    </row>
    <row r="95" spans="1:7" ht="53.25" hidden="1" customHeight="1" x14ac:dyDescent="0.2">
      <c r="A95" s="4"/>
      <c r="B95" s="19"/>
      <c r="C95" s="20"/>
      <c r="D95" s="20"/>
      <c r="E95" s="18">
        <f t="shared" si="11"/>
        <v>0</v>
      </c>
      <c r="F95" s="18"/>
      <c r="G95" s="18">
        <f>E95+D95</f>
        <v>0</v>
      </c>
    </row>
    <row r="96" spans="1:7" ht="19.899999999999999" customHeight="1" x14ac:dyDescent="0.2">
      <c r="A96" s="565" t="s">
        <v>48</v>
      </c>
      <c r="B96" s="566"/>
      <c r="C96" s="18">
        <f t="shared" ref="C96:D96" si="12">C52+C10+C94</f>
        <v>158352348.42000002</v>
      </c>
      <c r="D96" s="18">
        <f t="shared" si="12"/>
        <v>67921744.649999991</v>
      </c>
      <c r="E96" s="18">
        <f>E52+E10+E94</f>
        <v>226274093.06999999</v>
      </c>
      <c r="F96" s="18">
        <f t="shared" ref="F96:G96" si="13">F52+F10+F94</f>
        <v>7092052.4600000009</v>
      </c>
      <c r="G96" s="18">
        <f t="shared" si="13"/>
        <v>233366145.52999997</v>
      </c>
    </row>
    <row r="97" spans="3:7" x14ac:dyDescent="0.2">
      <c r="C97" s="34"/>
      <c r="D97" s="34"/>
      <c r="E97" s="34"/>
      <c r="F97" s="34"/>
      <c r="G97" s="34"/>
    </row>
    <row r="98" spans="3:7" x14ac:dyDescent="0.2">
      <c r="C98" s="34"/>
      <c r="D98" s="34"/>
      <c r="E98" s="34"/>
      <c r="F98" s="34"/>
      <c r="G98" s="34"/>
    </row>
    <row r="99" spans="3:7" x14ac:dyDescent="0.2">
      <c r="C99" s="10"/>
      <c r="D99" s="10"/>
      <c r="E99" s="10">
        <v>226274093.06999999</v>
      </c>
      <c r="F99" s="10"/>
      <c r="G99" s="10">
        <v>233366145.53</v>
      </c>
    </row>
    <row r="100" spans="3:7" x14ac:dyDescent="0.2">
      <c r="C100" s="35">
        <v>158352348.41999999</v>
      </c>
      <c r="E100" s="34">
        <f>E96-E99</f>
        <v>0</v>
      </c>
    </row>
    <row r="101" spans="3:7" x14ac:dyDescent="0.2">
      <c r="C101" s="34"/>
      <c r="D101" s="34"/>
      <c r="E101" s="34"/>
      <c r="F101" s="34"/>
      <c r="G101" s="34"/>
    </row>
    <row r="102" spans="3:7" x14ac:dyDescent="0.2">
      <c r="C102" s="34"/>
      <c r="D102" s="34"/>
      <c r="E102" s="34"/>
      <c r="F102" s="34"/>
      <c r="G102" s="34"/>
    </row>
    <row r="103" spans="3:7" x14ac:dyDescent="0.2">
      <c r="C103" s="34"/>
      <c r="D103" s="34"/>
      <c r="E103" s="34"/>
      <c r="F103" s="34"/>
      <c r="G103" s="34"/>
    </row>
    <row r="104" spans="3:7" x14ac:dyDescent="0.2">
      <c r="C104" s="34"/>
      <c r="D104" s="34"/>
      <c r="E104" s="34"/>
      <c r="F104" s="34"/>
      <c r="G104" s="34"/>
    </row>
  </sheetData>
  <mergeCells count="4">
    <mergeCell ref="L10:M10"/>
    <mergeCell ref="A96:B96"/>
    <mergeCell ref="A5:E5"/>
    <mergeCell ref="C1:G1"/>
  </mergeCells>
  <printOptions horizontalCentered="1"/>
  <pageMargins left="0.70866141732283472" right="0.39370078740157483" top="0.39370078740157483" bottom="0.39370078740157483" header="0.31496062992125984" footer="0.31496062992125984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4"/>
  <sheetViews>
    <sheetView topLeftCell="C1" workbookViewId="0">
      <selection activeCell="C1" sqref="C1:Q64"/>
    </sheetView>
  </sheetViews>
  <sheetFormatPr defaultRowHeight="15.75" x14ac:dyDescent="0.25"/>
  <cols>
    <col min="1" max="1" width="3.83203125" style="252" hidden="1" customWidth="1"/>
    <col min="2" max="2" width="10.6640625" style="252" hidden="1" customWidth="1"/>
    <col min="3" max="3" width="7.83203125" style="251" customWidth="1"/>
    <col min="4" max="4" width="5" style="251" customWidth="1"/>
    <col min="5" max="5" width="6.5" style="251" customWidth="1"/>
    <col min="6" max="6" width="12.1640625" style="251" customWidth="1"/>
    <col min="7" max="7" width="99.6640625" style="252" customWidth="1"/>
    <col min="8" max="8" width="26.33203125" style="253" hidden="1" customWidth="1"/>
    <col min="9" max="12" width="22.1640625" style="61" hidden="1" customWidth="1"/>
    <col min="13" max="13" width="22.33203125" style="61" hidden="1" customWidth="1"/>
    <col min="14" max="14" width="21.5" style="254" hidden="1" customWidth="1"/>
    <col min="15" max="15" width="26" style="252" customWidth="1"/>
    <col min="16" max="16" width="14.5" style="252" bestFit="1" customWidth="1"/>
    <col min="17" max="18" width="15.83203125" style="252" bestFit="1" customWidth="1"/>
    <col min="19" max="20" width="14.5" style="252" bestFit="1" customWidth="1"/>
    <col min="21" max="21" width="13.5" style="252" bestFit="1" customWidth="1"/>
    <col min="22" max="22" width="9.33203125" style="252"/>
    <col min="23" max="23" width="14.5" style="252" bestFit="1" customWidth="1"/>
    <col min="24" max="256" width="9.33203125" style="252"/>
    <col min="257" max="258" width="0" style="252" hidden="1" customWidth="1"/>
    <col min="259" max="259" width="7.83203125" style="252" customWidth="1"/>
    <col min="260" max="260" width="5" style="252" customWidth="1"/>
    <col min="261" max="261" width="6.5" style="252" customWidth="1"/>
    <col min="262" max="262" width="12.1640625" style="252" customWidth="1"/>
    <col min="263" max="263" width="99.6640625" style="252" customWidth="1"/>
    <col min="264" max="270" width="0" style="252" hidden="1" customWidth="1"/>
    <col min="271" max="271" width="26" style="252" customWidth="1"/>
    <col min="272" max="272" width="14.5" style="252" bestFit="1" customWidth="1"/>
    <col min="273" max="274" width="15.83203125" style="252" bestFit="1" customWidth="1"/>
    <col min="275" max="276" width="14.5" style="252" bestFit="1" customWidth="1"/>
    <col min="277" max="277" width="13.5" style="252" bestFit="1" customWidth="1"/>
    <col min="278" max="278" width="9.33203125" style="252"/>
    <col min="279" max="279" width="14.5" style="252" bestFit="1" customWidth="1"/>
    <col min="280" max="512" width="9.33203125" style="252"/>
    <col min="513" max="514" width="0" style="252" hidden="1" customWidth="1"/>
    <col min="515" max="515" width="7.83203125" style="252" customWidth="1"/>
    <col min="516" max="516" width="5" style="252" customWidth="1"/>
    <col min="517" max="517" width="6.5" style="252" customWidth="1"/>
    <col min="518" max="518" width="12.1640625" style="252" customWidth="1"/>
    <col min="519" max="519" width="99.6640625" style="252" customWidth="1"/>
    <col min="520" max="526" width="0" style="252" hidden="1" customWidth="1"/>
    <col min="527" max="527" width="26" style="252" customWidth="1"/>
    <col min="528" max="528" width="14.5" style="252" bestFit="1" customWidth="1"/>
    <col min="529" max="530" width="15.83203125" style="252" bestFit="1" customWidth="1"/>
    <col min="531" max="532" width="14.5" style="252" bestFit="1" customWidth="1"/>
    <col min="533" max="533" width="13.5" style="252" bestFit="1" customWidth="1"/>
    <col min="534" max="534" width="9.33203125" style="252"/>
    <col min="535" max="535" width="14.5" style="252" bestFit="1" customWidth="1"/>
    <col min="536" max="768" width="9.33203125" style="252"/>
    <col min="769" max="770" width="0" style="252" hidden="1" customWidth="1"/>
    <col min="771" max="771" width="7.83203125" style="252" customWidth="1"/>
    <col min="772" max="772" width="5" style="252" customWidth="1"/>
    <col min="773" max="773" width="6.5" style="252" customWidth="1"/>
    <col min="774" max="774" width="12.1640625" style="252" customWidth="1"/>
    <col min="775" max="775" width="99.6640625" style="252" customWidth="1"/>
    <col min="776" max="782" width="0" style="252" hidden="1" customWidth="1"/>
    <col min="783" max="783" width="26" style="252" customWidth="1"/>
    <col min="784" max="784" width="14.5" style="252" bestFit="1" customWidth="1"/>
    <col min="785" max="786" width="15.83203125" style="252" bestFit="1" customWidth="1"/>
    <col min="787" max="788" width="14.5" style="252" bestFit="1" customWidth="1"/>
    <col min="789" max="789" width="13.5" style="252" bestFit="1" customWidth="1"/>
    <col min="790" max="790" width="9.33203125" style="252"/>
    <col min="791" max="791" width="14.5" style="252" bestFit="1" customWidth="1"/>
    <col min="792" max="1024" width="9.33203125" style="252"/>
    <col min="1025" max="1026" width="0" style="252" hidden="1" customWidth="1"/>
    <col min="1027" max="1027" width="7.83203125" style="252" customWidth="1"/>
    <col min="1028" max="1028" width="5" style="252" customWidth="1"/>
    <col min="1029" max="1029" width="6.5" style="252" customWidth="1"/>
    <col min="1030" max="1030" width="12.1640625" style="252" customWidth="1"/>
    <col min="1031" max="1031" width="99.6640625" style="252" customWidth="1"/>
    <col min="1032" max="1038" width="0" style="252" hidden="1" customWidth="1"/>
    <col min="1039" max="1039" width="26" style="252" customWidth="1"/>
    <col min="1040" max="1040" width="14.5" style="252" bestFit="1" customWidth="1"/>
    <col min="1041" max="1042" width="15.83203125" style="252" bestFit="1" customWidth="1"/>
    <col min="1043" max="1044" width="14.5" style="252" bestFit="1" customWidth="1"/>
    <col min="1045" max="1045" width="13.5" style="252" bestFit="1" customWidth="1"/>
    <col min="1046" max="1046" width="9.33203125" style="252"/>
    <col min="1047" max="1047" width="14.5" style="252" bestFit="1" customWidth="1"/>
    <col min="1048" max="1280" width="9.33203125" style="252"/>
    <col min="1281" max="1282" width="0" style="252" hidden="1" customWidth="1"/>
    <col min="1283" max="1283" width="7.83203125" style="252" customWidth="1"/>
    <col min="1284" max="1284" width="5" style="252" customWidth="1"/>
    <col min="1285" max="1285" width="6.5" style="252" customWidth="1"/>
    <col min="1286" max="1286" width="12.1640625" style="252" customWidth="1"/>
    <col min="1287" max="1287" width="99.6640625" style="252" customWidth="1"/>
    <col min="1288" max="1294" width="0" style="252" hidden="1" customWidth="1"/>
    <col min="1295" max="1295" width="26" style="252" customWidth="1"/>
    <col min="1296" max="1296" width="14.5" style="252" bestFit="1" customWidth="1"/>
    <col min="1297" max="1298" width="15.83203125" style="252" bestFit="1" customWidth="1"/>
    <col min="1299" max="1300" width="14.5" style="252" bestFit="1" customWidth="1"/>
    <col min="1301" max="1301" width="13.5" style="252" bestFit="1" customWidth="1"/>
    <col min="1302" max="1302" width="9.33203125" style="252"/>
    <col min="1303" max="1303" width="14.5" style="252" bestFit="1" customWidth="1"/>
    <col min="1304" max="1536" width="9.33203125" style="252"/>
    <col min="1537" max="1538" width="0" style="252" hidden="1" customWidth="1"/>
    <col min="1539" max="1539" width="7.83203125" style="252" customWidth="1"/>
    <col min="1540" max="1540" width="5" style="252" customWidth="1"/>
    <col min="1541" max="1541" width="6.5" style="252" customWidth="1"/>
    <col min="1542" max="1542" width="12.1640625" style="252" customWidth="1"/>
    <col min="1543" max="1543" width="99.6640625" style="252" customWidth="1"/>
    <col min="1544" max="1550" width="0" style="252" hidden="1" customWidth="1"/>
    <col min="1551" max="1551" width="26" style="252" customWidth="1"/>
    <col min="1552" max="1552" width="14.5" style="252" bestFit="1" customWidth="1"/>
    <col min="1553" max="1554" width="15.83203125" style="252" bestFit="1" customWidth="1"/>
    <col min="1555" max="1556" width="14.5" style="252" bestFit="1" customWidth="1"/>
    <col min="1557" max="1557" width="13.5" style="252" bestFit="1" customWidth="1"/>
    <col min="1558" max="1558" width="9.33203125" style="252"/>
    <col min="1559" max="1559" width="14.5" style="252" bestFit="1" customWidth="1"/>
    <col min="1560" max="1792" width="9.33203125" style="252"/>
    <col min="1793" max="1794" width="0" style="252" hidden="1" customWidth="1"/>
    <col min="1795" max="1795" width="7.83203125" style="252" customWidth="1"/>
    <col min="1796" max="1796" width="5" style="252" customWidth="1"/>
    <col min="1797" max="1797" width="6.5" style="252" customWidth="1"/>
    <col min="1798" max="1798" width="12.1640625" style="252" customWidth="1"/>
    <col min="1799" max="1799" width="99.6640625" style="252" customWidth="1"/>
    <col min="1800" max="1806" width="0" style="252" hidden="1" customWidth="1"/>
    <col min="1807" max="1807" width="26" style="252" customWidth="1"/>
    <col min="1808" max="1808" width="14.5" style="252" bestFit="1" customWidth="1"/>
    <col min="1809" max="1810" width="15.83203125" style="252" bestFit="1" customWidth="1"/>
    <col min="1811" max="1812" width="14.5" style="252" bestFit="1" customWidth="1"/>
    <col min="1813" max="1813" width="13.5" style="252" bestFit="1" customWidth="1"/>
    <col min="1814" max="1814" width="9.33203125" style="252"/>
    <col min="1815" max="1815" width="14.5" style="252" bestFit="1" customWidth="1"/>
    <col min="1816" max="2048" width="9.33203125" style="252"/>
    <col min="2049" max="2050" width="0" style="252" hidden="1" customWidth="1"/>
    <col min="2051" max="2051" width="7.83203125" style="252" customWidth="1"/>
    <col min="2052" max="2052" width="5" style="252" customWidth="1"/>
    <col min="2053" max="2053" width="6.5" style="252" customWidth="1"/>
    <col min="2054" max="2054" width="12.1640625" style="252" customWidth="1"/>
    <col min="2055" max="2055" width="99.6640625" style="252" customWidth="1"/>
    <col min="2056" max="2062" width="0" style="252" hidden="1" customWidth="1"/>
    <col min="2063" max="2063" width="26" style="252" customWidth="1"/>
    <col min="2064" max="2064" width="14.5" style="252" bestFit="1" customWidth="1"/>
    <col min="2065" max="2066" width="15.83203125" style="252" bestFit="1" customWidth="1"/>
    <col min="2067" max="2068" width="14.5" style="252" bestFit="1" customWidth="1"/>
    <col min="2069" max="2069" width="13.5" style="252" bestFit="1" customWidth="1"/>
    <col min="2070" max="2070" width="9.33203125" style="252"/>
    <col min="2071" max="2071" width="14.5" style="252" bestFit="1" customWidth="1"/>
    <col min="2072" max="2304" width="9.33203125" style="252"/>
    <col min="2305" max="2306" width="0" style="252" hidden="1" customWidth="1"/>
    <col min="2307" max="2307" width="7.83203125" style="252" customWidth="1"/>
    <col min="2308" max="2308" width="5" style="252" customWidth="1"/>
    <col min="2309" max="2309" width="6.5" style="252" customWidth="1"/>
    <col min="2310" max="2310" width="12.1640625" style="252" customWidth="1"/>
    <col min="2311" max="2311" width="99.6640625" style="252" customWidth="1"/>
    <col min="2312" max="2318" width="0" style="252" hidden="1" customWidth="1"/>
    <col min="2319" max="2319" width="26" style="252" customWidth="1"/>
    <col min="2320" max="2320" width="14.5" style="252" bestFit="1" customWidth="1"/>
    <col min="2321" max="2322" width="15.83203125" style="252" bestFit="1" customWidth="1"/>
    <col min="2323" max="2324" width="14.5" style="252" bestFit="1" customWidth="1"/>
    <col min="2325" max="2325" width="13.5" style="252" bestFit="1" customWidth="1"/>
    <col min="2326" max="2326" width="9.33203125" style="252"/>
    <col min="2327" max="2327" width="14.5" style="252" bestFit="1" customWidth="1"/>
    <col min="2328" max="2560" width="9.33203125" style="252"/>
    <col min="2561" max="2562" width="0" style="252" hidden="1" customWidth="1"/>
    <col min="2563" max="2563" width="7.83203125" style="252" customWidth="1"/>
    <col min="2564" max="2564" width="5" style="252" customWidth="1"/>
    <col min="2565" max="2565" width="6.5" style="252" customWidth="1"/>
    <col min="2566" max="2566" width="12.1640625" style="252" customWidth="1"/>
    <col min="2567" max="2567" width="99.6640625" style="252" customWidth="1"/>
    <col min="2568" max="2574" width="0" style="252" hidden="1" customWidth="1"/>
    <col min="2575" max="2575" width="26" style="252" customWidth="1"/>
    <col min="2576" max="2576" width="14.5" style="252" bestFit="1" customWidth="1"/>
    <col min="2577" max="2578" width="15.83203125" style="252" bestFit="1" customWidth="1"/>
    <col min="2579" max="2580" width="14.5" style="252" bestFit="1" customWidth="1"/>
    <col min="2581" max="2581" width="13.5" style="252" bestFit="1" customWidth="1"/>
    <col min="2582" max="2582" width="9.33203125" style="252"/>
    <col min="2583" max="2583" width="14.5" style="252" bestFit="1" customWidth="1"/>
    <col min="2584" max="2816" width="9.33203125" style="252"/>
    <col min="2817" max="2818" width="0" style="252" hidden="1" customWidth="1"/>
    <col min="2819" max="2819" width="7.83203125" style="252" customWidth="1"/>
    <col min="2820" max="2820" width="5" style="252" customWidth="1"/>
    <col min="2821" max="2821" width="6.5" style="252" customWidth="1"/>
    <col min="2822" max="2822" width="12.1640625" style="252" customWidth="1"/>
    <col min="2823" max="2823" width="99.6640625" style="252" customWidth="1"/>
    <col min="2824" max="2830" width="0" style="252" hidden="1" customWidth="1"/>
    <col min="2831" max="2831" width="26" style="252" customWidth="1"/>
    <col min="2832" max="2832" width="14.5" style="252" bestFit="1" customWidth="1"/>
    <col min="2833" max="2834" width="15.83203125" style="252" bestFit="1" customWidth="1"/>
    <col min="2835" max="2836" width="14.5" style="252" bestFit="1" customWidth="1"/>
    <col min="2837" max="2837" width="13.5" style="252" bestFit="1" customWidth="1"/>
    <col min="2838" max="2838" width="9.33203125" style="252"/>
    <col min="2839" max="2839" width="14.5" style="252" bestFit="1" customWidth="1"/>
    <col min="2840" max="3072" width="9.33203125" style="252"/>
    <col min="3073" max="3074" width="0" style="252" hidden="1" customWidth="1"/>
    <col min="3075" max="3075" width="7.83203125" style="252" customWidth="1"/>
    <col min="3076" max="3076" width="5" style="252" customWidth="1"/>
    <col min="3077" max="3077" width="6.5" style="252" customWidth="1"/>
    <col min="3078" max="3078" width="12.1640625" style="252" customWidth="1"/>
    <col min="3079" max="3079" width="99.6640625" style="252" customWidth="1"/>
    <col min="3080" max="3086" width="0" style="252" hidden="1" customWidth="1"/>
    <col min="3087" max="3087" width="26" style="252" customWidth="1"/>
    <col min="3088" max="3088" width="14.5" style="252" bestFit="1" customWidth="1"/>
    <col min="3089" max="3090" width="15.83203125" style="252" bestFit="1" customWidth="1"/>
    <col min="3091" max="3092" width="14.5" style="252" bestFit="1" customWidth="1"/>
    <col min="3093" max="3093" width="13.5" style="252" bestFit="1" customWidth="1"/>
    <col min="3094" max="3094" width="9.33203125" style="252"/>
    <col min="3095" max="3095" width="14.5" style="252" bestFit="1" customWidth="1"/>
    <col min="3096" max="3328" width="9.33203125" style="252"/>
    <col min="3329" max="3330" width="0" style="252" hidden="1" customWidth="1"/>
    <col min="3331" max="3331" width="7.83203125" style="252" customWidth="1"/>
    <col min="3332" max="3332" width="5" style="252" customWidth="1"/>
    <col min="3333" max="3333" width="6.5" style="252" customWidth="1"/>
    <col min="3334" max="3334" width="12.1640625" style="252" customWidth="1"/>
    <col min="3335" max="3335" width="99.6640625" style="252" customWidth="1"/>
    <col min="3336" max="3342" width="0" style="252" hidden="1" customWidth="1"/>
    <col min="3343" max="3343" width="26" style="252" customWidth="1"/>
    <col min="3344" max="3344" width="14.5" style="252" bestFit="1" customWidth="1"/>
    <col min="3345" max="3346" width="15.83203125" style="252" bestFit="1" customWidth="1"/>
    <col min="3347" max="3348" width="14.5" style="252" bestFit="1" customWidth="1"/>
    <col min="3349" max="3349" width="13.5" style="252" bestFit="1" customWidth="1"/>
    <col min="3350" max="3350" width="9.33203125" style="252"/>
    <col min="3351" max="3351" width="14.5" style="252" bestFit="1" customWidth="1"/>
    <col min="3352" max="3584" width="9.33203125" style="252"/>
    <col min="3585" max="3586" width="0" style="252" hidden="1" customWidth="1"/>
    <col min="3587" max="3587" width="7.83203125" style="252" customWidth="1"/>
    <col min="3588" max="3588" width="5" style="252" customWidth="1"/>
    <col min="3589" max="3589" width="6.5" style="252" customWidth="1"/>
    <col min="3590" max="3590" width="12.1640625" style="252" customWidth="1"/>
    <col min="3591" max="3591" width="99.6640625" style="252" customWidth="1"/>
    <col min="3592" max="3598" width="0" style="252" hidden="1" customWidth="1"/>
    <col min="3599" max="3599" width="26" style="252" customWidth="1"/>
    <col min="3600" max="3600" width="14.5" style="252" bestFit="1" customWidth="1"/>
    <col min="3601" max="3602" width="15.83203125" style="252" bestFit="1" customWidth="1"/>
    <col min="3603" max="3604" width="14.5" style="252" bestFit="1" customWidth="1"/>
    <col min="3605" max="3605" width="13.5" style="252" bestFit="1" customWidth="1"/>
    <col min="3606" max="3606" width="9.33203125" style="252"/>
    <col min="3607" max="3607" width="14.5" style="252" bestFit="1" customWidth="1"/>
    <col min="3608" max="3840" width="9.33203125" style="252"/>
    <col min="3841" max="3842" width="0" style="252" hidden="1" customWidth="1"/>
    <col min="3843" max="3843" width="7.83203125" style="252" customWidth="1"/>
    <col min="3844" max="3844" width="5" style="252" customWidth="1"/>
    <col min="3845" max="3845" width="6.5" style="252" customWidth="1"/>
    <col min="3846" max="3846" width="12.1640625" style="252" customWidth="1"/>
    <col min="3847" max="3847" width="99.6640625" style="252" customWidth="1"/>
    <col min="3848" max="3854" width="0" style="252" hidden="1" customWidth="1"/>
    <col min="3855" max="3855" width="26" style="252" customWidth="1"/>
    <col min="3856" max="3856" width="14.5" style="252" bestFit="1" customWidth="1"/>
    <col min="3857" max="3858" width="15.83203125" style="252" bestFit="1" customWidth="1"/>
    <col min="3859" max="3860" width="14.5" style="252" bestFit="1" customWidth="1"/>
    <col min="3861" max="3861" width="13.5" style="252" bestFit="1" customWidth="1"/>
    <col min="3862" max="3862" width="9.33203125" style="252"/>
    <col min="3863" max="3863" width="14.5" style="252" bestFit="1" customWidth="1"/>
    <col min="3864" max="4096" width="9.33203125" style="252"/>
    <col min="4097" max="4098" width="0" style="252" hidden="1" customWidth="1"/>
    <col min="4099" max="4099" width="7.83203125" style="252" customWidth="1"/>
    <col min="4100" max="4100" width="5" style="252" customWidth="1"/>
    <col min="4101" max="4101" width="6.5" style="252" customWidth="1"/>
    <col min="4102" max="4102" width="12.1640625" style="252" customWidth="1"/>
    <col min="4103" max="4103" width="99.6640625" style="252" customWidth="1"/>
    <col min="4104" max="4110" width="0" style="252" hidden="1" customWidth="1"/>
    <col min="4111" max="4111" width="26" style="252" customWidth="1"/>
    <col min="4112" max="4112" width="14.5" style="252" bestFit="1" customWidth="1"/>
    <col min="4113" max="4114" width="15.83203125" style="252" bestFit="1" customWidth="1"/>
    <col min="4115" max="4116" width="14.5" style="252" bestFit="1" customWidth="1"/>
    <col min="4117" max="4117" width="13.5" style="252" bestFit="1" customWidth="1"/>
    <col min="4118" max="4118" width="9.33203125" style="252"/>
    <col min="4119" max="4119" width="14.5" style="252" bestFit="1" customWidth="1"/>
    <col min="4120" max="4352" width="9.33203125" style="252"/>
    <col min="4353" max="4354" width="0" style="252" hidden="1" customWidth="1"/>
    <col min="4355" max="4355" width="7.83203125" style="252" customWidth="1"/>
    <col min="4356" max="4356" width="5" style="252" customWidth="1"/>
    <col min="4357" max="4357" width="6.5" style="252" customWidth="1"/>
    <col min="4358" max="4358" width="12.1640625" style="252" customWidth="1"/>
    <col min="4359" max="4359" width="99.6640625" style="252" customWidth="1"/>
    <col min="4360" max="4366" width="0" style="252" hidden="1" customWidth="1"/>
    <col min="4367" max="4367" width="26" style="252" customWidth="1"/>
    <col min="4368" max="4368" width="14.5" style="252" bestFit="1" customWidth="1"/>
    <col min="4369" max="4370" width="15.83203125" style="252" bestFit="1" customWidth="1"/>
    <col min="4371" max="4372" width="14.5" style="252" bestFit="1" customWidth="1"/>
    <col min="4373" max="4373" width="13.5" style="252" bestFit="1" customWidth="1"/>
    <col min="4374" max="4374" width="9.33203125" style="252"/>
    <col min="4375" max="4375" width="14.5" style="252" bestFit="1" customWidth="1"/>
    <col min="4376" max="4608" width="9.33203125" style="252"/>
    <col min="4609" max="4610" width="0" style="252" hidden="1" customWidth="1"/>
    <col min="4611" max="4611" width="7.83203125" style="252" customWidth="1"/>
    <col min="4612" max="4612" width="5" style="252" customWidth="1"/>
    <col min="4613" max="4613" width="6.5" style="252" customWidth="1"/>
    <col min="4614" max="4614" width="12.1640625" style="252" customWidth="1"/>
    <col min="4615" max="4615" width="99.6640625" style="252" customWidth="1"/>
    <col min="4616" max="4622" width="0" style="252" hidden="1" customWidth="1"/>
    <col min="4623" max="4623" width="26" style="252" customWidth="1"/>
    <col min="4624" max="4624" width="14.5" style="252" bestFit="1" customWidth="1"/>
    <col min="4625" max="4626" width="15.83203125" style="252" bestFit="1" customWidth="1"/>
    <col min="4627" max="4628" width="14.5" style="252" bestFit="1" customWidth="1"/>
    <col min="4629" max="4629" width="13.5" style="252" bestFit="1" customWidth="1"/>
    <col min="4630" max="4630" width="9.33203125" style="252"/>
    <col min="4631" max="4631" width="14.5" style="252" bestFit="1" customWidth="1"/>
    <col min="4632" max="4864" width="9.33203125" style="252"/>
    <col min="4865" max="4866" width="0" style="252" hidden="1" customWidth="1"/>
    <col min="4867" max="4867" width="7.83203125" style="252" customWidth="1"/>
    <col min="4868" max="4868" width="5" style="252" customWidth="1"/>
    <col min="4869" max="4869" width="6.5" style="252" customWidth="1"/>
    <col min="4870" max="4870" width="12.1640625" style="252" customWidth="1"/>
    <col min="4871" max="4871" width="99.6640625" style="252" customWidth="1"/>
    <col min="4872" max="4878" width="0" style="252" hidden="1" customWidth="1"/>
    <col min="4879" max="4879" width="26" style="252" customWidth="1"/>
    <col min="4880" max="4880" width="14.5" style="252" bestFit="1" customWidth="1"/>
    <col min="4881" max="4882" width="15.83203125" style="252" bestFit="1" customWidth="1"/>
    <col min="4883" max="4884" width="14.5" style="252" bestFit="1" customWidth="1"/>
    <col min="4885" max="4885" width="13.5" style="252" bestFit="1" customWidth="1"/>
    <col min="4886" max="4886" width="9.33203125" style="252"/>
    <col min="4887" max="4887" width="14.5" style="252" bestFit="1" customWidth="1"/>
    <col min="4888" max="5120" width="9.33203125" style="252"/>
    <col min="5121" max="5122" width="0" style="252" hidden="1" customWidth="1"/>
    <col min="5123" max="5123" width="7.83203125" style="252" customWidth="1"/>
    <col min="5124" max="5124" width="5" style="252" customWidth="1"/>
    <col min="5125" max="5125" width="6.5" style="252" customWidth="1"/>
    <col min="5126" max="5126" width="12.1640625" style="252" customWidth="1"/>
    <col min="5127" max="5127" width="99.6640625" style="252" customWidth="1"/>
    <col min="5128" max="5134" width="0" style="252" hidden="1" customWidth="1"/>
    <col min="5135" max="5135" width="26" style="252" customWidth="1"/>
    <col min="5136" max="5136" width="14.5" style="252" bestFit="1" customWidth="1"/>
    <col min="5137" max="5138" width="15.83203125" style="252" bestFit="1" customWidth="1"/>
    <col min="5139" max="5140" width="14.5" style="252" bestFit="1" customWidth="1"/>
    <col min="5141" max="5141" width="13.5" style="252" bestFit="1" customWidth="1"/>
    <col min="5142" max="5142" width="9.33203125" style="252"/>
    <col min="5143" max="5143" width="14.5" style="252" bestFit="1" customWidth="1"/>
    <col min="5144" max="5376" width="9.33203125" style="252"/>
    <col min="5377" max="5378" width="0" style="252" hidden="1" customWidth="1"/>
    <col min="5379" max="5379" width="7.83203125" style="252" customWidth="1"/>
    <col min="5380" max="5380" width="5" style="252" customWidth="1"/>
    <col min="5381" max="5381" width="6.5" style="252" customWidth="1"/>
    <col min="5382" max="5382" width="12.1640625" style="252" customWidth="1"/>
    <col min="5383" max="5383" width="99.6640625" style="252" customWidth="1"/>
    <col min="5384" max="5390" width="0" style="252" hidden="1" customWidth="1"/>
    <col min="5391" max="5391" width="26" style="252" customWidth="1"/>
    <col min="5392" max="5392" width="14.5" style="252" bestFit="1" customWidth="1"/>
    <col min="5393" max="5394" width="15.83203125" style="252" bestFit="1" customWidth="1"/>
    <col min="5395" max="5396" width="14.5" style="252" bestFit="1" customWidth="1"/>
    <col min="5397" max="5397" width="13.5" style="252" bestFit="1" customWidth="1"/>
    <col min="5398" max="5398" width="9.33203125" style="252"/>
    <col min="5399" max="5399" width="14.5" style="252" bestFit="1" customWidth="1"/>
    <col min="5400" max="5632" width="9.33203125" style="252"/>
    <col min="5633" max="5634" width="0" style="252" hidden="1" customWidth="1"/>
    <col min="5635" max="5635" width="7.83203125" style="252" customWidth="1"/>
    <col min="5636" max="5636" width="5" style="252" customWidth="1"/>
    <col min="5637" max="5637" width="6.5" style="252" customWidth="1"/>
    <col min="5638" max="5638" width="12.1640625" style="252" customWidth="1"/>
    <col min="5639" max="5639" width="99.6640625" style="252" customWidth="1"/>
    <col min="5640" max="5646" width="0" style="252" hidden="1" customWidth="1"/>
    <col min="5647" max="5647" width="26" style="252" customWidth="1"/>
    <col min="5648" max="5648" width="14.5" style="252" bestFit="1" customWidth="1"/>
    <col min="5649" max="5650" width="15.83203125" style="252" bestFit="1" customWidth="1"/>
    <col min="5651" max="5652" width="14.5" style="252" bestFit="1" customWidth="1"/>
    <col min="5653" max="5653" width="13.5" style="252" bestFit="1" customWidth="1"/>
    <col min="5654" max="5654" width="9.33203125" style="252"/>
    <col min="5655" max="5655" width="14.5" style="252" bestFit="1" customWidth="1"/>
    <col min="5656" max="5888" width="9.33203125" style="252"/>
    <col min="5889" max="5890" width="0" style="252" hidden="1" customWidth="1"/>
    <col min="5891" max="5891" width="7.83203125" style="252" customWidth="1"/>
    <col min="5892" max="5892" width="5" style="252" customWidth="1"/>
    <col min="5893" max="5893" width="6.5" style="252" customWidth="1"/>
    <col min="5894" max="5894" width="12.1640625" style="252" customWidth="1"/>
    <col min="5895" max="5895" width="99.6640625" style="252" customWidth="1"/>
    <col min="5896" max="5902" width="0" style="252" hidden="1" customWidth="1"/>
    <col min="5903" max="5903" width="26" style="252" customWidth="1"/>
    <col min="5904" max="5904" width="14.5" style="252" bestFit="1" customWidth="1"/>
    <col min="5905" max="5906" width="15.83203125" style="252" bestFit="1" customWidth="1"/>
    <col min="5907" max="5908" width="14.5" style="252" bestFit="1" customWidth="1"/>
    <col min="5909" max="5909" width="13.5" style="252" bestFit="1" customWidth="1"/>
    <col min="5910" max="5910" width="9.33203125" style="252"/>
    <col min="5911" max="5911" width="14.5" style="252" bestFit="1" customWidth="1"/>
    <col min="5912" max="6144" width="9.33203125" style="252"/>
    <col min="6145" max="6146" width="0" style="252" hidden="1" customWidth="1"/>
    <col min="6147" max="6147" width="7.83203125" style="252" customWidth="1"/>
    <col min="6148" max="6148" width="5" style="252" customWidth="1"/>
    <col min="6149" max="6149" width="6.5" style="252" customWidth="1"/>
    <col min="6150" max="6150" width="12.1640625" style="252" customWidth="1"/>
    <col min="6151" max="6151" width="99.6640625" style="252" customWidth="1"/>
    <col min="6152" max="6158" width="0" style="252" hidden="1" customWidth="1"/>
    <col min="6159" max="6159" width="26" style="252" customWidth="1"/>
    <col min="6160" max="6160" width="14.5" style="252" bestFit="1" customWidth="1"/>
    <col min="6161" max="6162" width="15.83203125" style="252" bestFit="1" customWidth="1"/>
    <col min="6163" max="6164" width="14.5" style="252" bestFit="1" customWidth="1"/>
    <col min="6165" max="6165" width="13.5" style="252" bestFit="1" customWidth="1"/>
    <col min="6166" max="6166" width="9.33203125" style="252"/>
    <col min="6167" max="6167" width="14.5" style="252" bestFit="1" customWidth="1"/>
    <col min="6168" max="6400" width="9.33203125" style="252"/>
    <col min="6401" max="6402" width="0" style="252" hidden="1" customWidth="1"/>
    <col min="6403" max="6403" width="7.83203125" style="252" customWidth="1"/>
    <col min="6404" max="6404" width="5" style="252" customWidth="1"/>
    <col min="6405" max="6405" width="6.5" style="252" customWidth="1"/>
    <col min="6406" max="6406" width="12.1640625" style="252" customWidth="1"/>
    <col min="6407" max="6407" width="99.6640625" style="252" customWidth="1"/>
    <col min="6408" max="6414" width="0" style="252" hidden="1" customWidth="1"/>
    <col min="6415" max="6415" width="26" style="252" customWidth="1"/>
    <col min="6416" max="6416" width="14.5" style="252" bestFit="1" customWidth="1"/>
    <col min="6417" max="6418" width="15.83203125" style="252" bestFit="1" customWidth="1"/>
    <col min="6419" max="6420" width="14.5" style="252" bestFit="1" customWidth="1"/>
    <col min="6421" max="6421" width="13.5" style="252" bestFit="1" customWidth="1"/>
    <col min="6422" max="6422" width="9.33203125" style="252"/>
    <col min="6423" max="6423" width="14.5" style="252" bestFit="1" customWidth="1"/>
    <col min="6424" max="6656" width="9.33203125" style="252"/>
    <col min="6657" max="6658" width="0" style="252" hidden="1" customWidth="1"/>
    <col min="6659" max="6659" width="7.83203125" style="252" customWidth="1"/>
    <col min="6660" max="6660" width="5" style="252" customWidth="1"/>
    <col min="6661" max="6661" width="6.5" style="252" customWidth="1"/>
    <col min="6662" max="6662" width="12.1640625" style="252" customWidth="1"/>
    <col min="6663" max="6663" width="99.6640625" style="252" customWidth="1"/>
    <col min="6664" max="6670" width="0" style="252" hidden="1" customWidth="1"/>
    <col min="6671" max="6671" width="26" style="252" customWidth="1"/>
    <col min="6672" max="6672" width="14.5" style="252" bestFit="1" customWidth="1"/>
    <col min="6673" max="6674" width="15.83203125" style="252" bestFit="1" customWidth="1"/>
    <col min="6675" max="6676" width="14.5" style="252" bestFit="1" customWidth="1"/>
    <col min="6677" max="6677" width="13.5" style="252" bestFit="1" customWidth="1"/>
    <col min="6678" max="6678" width="9.33203125" style="252"/>
    <col min="6679" max="6679" width="14.5" style="252" bestFit="1" customWidth="1"/>
    <col min="6680" max="6912" width="9.33203125" style="252"/>
    <col min="6913" max="6914" width="0" style="252" hidden="1" customWidth="1"/>
    <col min="6915" max="6915" width="7.83203125" style="252" customWidth="1"/>
    <col min="6916" max="6916" width="5" style="252" customWidth="1"/>
    <col min="6917" max="6917" width="6.5" style="252" customWidth="1"/>
    <col min="6918" max="6918" width="12.1640625" style="252" customWidth="1"/>
    <col min="6919" max="6919" width="99.6640625" style="252" customWidth="1"/>
    <col min="6920" max="6926" width="0" style="252" hidden="1" customWidth="1"/>
    <col min="6927" max="6927" width="26" style="252" customWidth="1"/>
    <col min="6928" max="6928" width="14.5" style="252" bestFit="1" customWidth="1"/>
    <col min="6929" max="6930" width="15.83203125" style="252" bestFit="1" customWidth="1"/>
    <col min="6931" max="6932" width="14.5" style="252" bestFit="1" customWidth="1"/>
    <col min="6933" max="6933" width="13.5" style="252" bestFit="1" customWidth="1"/>
    <col min="6934" max="6934" width="9.33203125" style="252"/>
    <col min="6935" max="6935" width="14.5" style="252" bestFit="1" customWidth="1"/>
    <col min="6936" max="7168" width="9.33203125" style="252"/>
    <col min="7169" max="7170" width="0" style="252" hidden="1" customWidth="1"/>
    <col min="7171" max="7171" width="7.83203125" style="252" customWidth="1"/>
    <col min="7172" max="7172" width="5" style="252" customWidth="1"/>
    <col min="7173" max="7173" width="6.5" style="252" customWidth="1"/>
    <col min="7174" max="7174" width="12.1640625" style="252" customWidth="1"/>
    <col min="7175" max="7175" width="99.6640625" style="252" customWidth="1"/>
    <col min="7176" max="7182" width="0" style="252" hidden="1" customWidth="1"/>
    <col min="7183" max="7183" width="26" style="252" customWidth="1"/>
    <col min="7184" max="7184" width="14.5" style="252" bestFit="1" customWidth="1"/>
    <col min="7185" max="7186" width="15.83203125" style="252" bestFit="1" customWidth="1"/>
    <col min="7187" max="7188" width="14.5" style="252" bestFit="1" customWidth="1"/>
    <col min="7189" max="7189" width="13.5" style="252" bestFit="1" customWidth="1"/>
    <col min="7190" max="7190" width="9.33203125" style="252"/>
    <col min="7191" max="7191" width="14.5" style="252" bestFit="1" customWidth="1"/>
    <col min="7192" max="7424" width="9.33203125" style="252"/>
    <col min="7425" max="7426" width="0" style="252" hidden="1" customWidth="1"/>
    <col min="7427" max="7427" width="7.83203125" style="252" customWidth="1"/>
    <col min="7428" max="7428" width="5" style="252" customWidth="1"/>
    <col min="7429" max="7429" width="6.5" style="252" customWidth="1"/>
    <col min="7430" max="7430" width="12.1640625" style="252" customWidth="1"/>
    <col min="7431" max="7431" width="99.6640625" style="252" customWidth="1"/>
    <col min="7432" max="7438" width="0" style="252" hidden="1" customWidth="1"/>
    <col min="7439" max="7439" width="26" style="252" customWidth="1"/>
    <col min="7440" max="7440" width="14.5" style="252" bestFit="1" customWidth="1"/>
    <col min="7441" max="7442" width="15.83203125" style="252" bestFit="1" customWidth="1"/>
    <col min="7443" max="7444" width="14.5" style="252" bestFit="1" customWidth="1"/>
    <col min="7445" max="7445" width="13.5" style="252" bestFit="1" customWidth="1"/>
    <col min="7446" max="7446" width="9.33203125" style="252"/>
    <col min="7447" max="7447" width="14.5" style="252" bestFit="1" customWidth="1"/>
    <col min="7448" max="7680" width="9.33203125" style="252"/>
    <col min="7681" max="7682" width="0" style="252" hidden="1" customWidth="1"/>
    <col min="7683" max="7683" width="7.83203125" style="252" customWidth="1"/>
    <col min="7684" max="7684" width="5" style="252" customWidth="1"/>
    <col min="7685" max="7685" width="6.5" style="252" customWidth="1"/>
    <col min="7686" max="7686" width="12.1640625" style="252" customWidth="1"/>
    <col min="7687" max="7687" width="99.6640625" style="252" customWidth="1"/>
    <col min="7688" max="7694" width="0" style="252" hidden="1" customWidth="1"/>
    <col min="7695" max="7695" width="26" style="252" customWidth="1"/>
    <col min="7696" max="7696" width="14.5" style="252" bestFit="1" customWidth="1"/>
    <col min="7697" max="7698" width="15.83203125" style="252" bestFit="1" customWidth="1"/>
    <col min="7699" max="7700" width="14.5" style="252" bestFit="1" customWidth="1"/>
    <col min="7701" max="7701" width="13.5" style="252" bestFit="1" customWidth="1"/>
    <col min="7702" max="7702" width="9.33203125" style="252"/>
    <col min="7703" max="7703" width="14.5" style="252" bestFit="1" customWidth="1"/>
    <col min="7704" max="7936" width="9.33203125" style="252"/>
    <col min="7937" max="7938" width="0" style="252" hidden="1" customWidth="1"/>
    <col min="7939" max="7939" width="7.83203125" style="252" customWidth="1"/>
    <col min="7940" max="7940" width="5" style="252" customWidth="1"/>
    <col min="7941" max="7941" width="6.5" style="252" customWidth="1"/>
    <col min="7942" max="7942" width="12.1640625" style="252" customWidth="1"/>
    <col min="7943" max="7943" width="99.6640625" style="252" customWidth="1"/>
    <col min="7944" max="7950" width="0" style="252" hidden="1" customWidth="1"/>
    <col min="7951" max="7951" width="26" style="252" customWidth="1"/>
    <col min="7952" max="7952" width="14.5" style="252" bestFit="1" customWidth="1"/>
    <col min="7953" max="7954" width="15.83203125" style="252" bestFit="1" customWidth="1"/>
    <col min="7955" max="7956" width="14.5" style="252" bestFit="1" customWidth="1"/>
    <col min="7957" max="7957" width="13.5" style="252" bestFit="1" customWidth="1"/>
    <col min="7958" max="7958" width="9.33203125" style="252"/>
    <col min="7959" max="7959" width="14.5" style="252" bestFit="1" customWidth="1"/>
    <col min="7960" max="8192" width="9.33203125" style="252"/>
    <col min="8193" max="8194" width="0" style="252" hidden="1" customWidth="1"/>
    <col min="8195" max="8195" width="7.83203125" style="252" customWidth="1"/>
    <col min="8196" max="8196" width="5" style="252" customWidth="1"/>
    <col min="8197" max="8197" width="6.5" style="252" customWidth="1"/>
    <col min="8198" max="8198" width="12.1640625" style="252" customWidth="1"/>
    <col min="8199" max="8199" width="99.6640625" style="252" customWidth="1"/>
    <col min="8200" max="8206" width="0" style="252" hidden="1" customWidth="1"/>
    <col min="8207" max="8207" width="26" style="252" customWidth="1"/>
    <col min="8208" max="8208" width="14.5" style="252" bestFit="1" customWidth="1"/>
    <col min="8209" max="8210" width="15.83203125" style="252" bestFit="1" customWidth="1"/>
    <col min="8211" max="8212" width="14.5" style="252" bestFit="1" customWidth="1"/>
    <col min="8213" max="8213" width="13.5" style="252" bestFit="1" customWidth="1"/>
    <col min="8214" max="8214" width="9.33203125" style="252"/>
    <col min="8215" max="8215" width="14.5" style="252" bestFit="1" customWidth="1"/>
    <col min="8216" max="8448" width="9.33203125" style="252"/>
    <col min="8449" max="8450" width="0" style="252" hidden="1" customWidth="1"/>
    <col min="8451" max="8451" width="7.83203125" style="252" customWidth="1"/>
    <col min="8452" max="8452" width="5" style="252" customWidth="1"/>
    <col min="8453" max="8453" width="6.5" style="252" customWidth="1"/>
    <col min="8454" max="8454" width="12.1640625" style="252" customWidth="1"/>
    <col min="8455" max="8455" width="99.6640625" style="252" customWidth="1"/>
    <col min="8456" max="8462" width="0" style="252" hidden="1" customWidth="1"/>
    <col min="8463" max="8463" width="26" style="252" customWidth="1"/>
    <col min="8464" max="8464" width="14.5" style="252" bestFit="1" customWidth="1"/>
    <col min="8465" max="8466" width="15.83203125" style="252" bestFit="1" customWidth="1"/>
    <col min="8467" max="8468" width="14.5" style="252" bestFit="1" customWidth="1"/>
    <col min="8469" max="8469" width="13.5" style="252" bestFit="1" customWidth="1"/>
    <col min="8470" max="8470" width="9.33203125" style="252"/>
    <col min="8471" max="8471" width="14.5" style="252" bestFit="1" customWidth="1"/>
    <col min="8472" max="8704" width="9.33203125" style="252"/>
    <col min="8705" max="8706" width="0" style="252" hidden="1" customWidth="1"/>
    <col min="8707" max="8707" width="7.83203125" style="252" customWidth="1"/>
    <col min="8708" max="8708" width="5" style="252" customWidth="1"/>
    <col min="8709" max="8709" width="6.5" style="252" customWidth="1"/>
    <col min="8710" max="8710" width="12.1640625" style="252" customWidth="1"/>
    <col min="8711" max="8711" width="99.6640625" style="252" customWidth="1"/>
    <col min="8712" max="8718" width="0" style="252" hidden="1" customWidth="1"/>
    <col min="8719" max="8719" width="26" style="252" customWidth="1"/>
    <col min="8720" max="8720" width="14.5" style="252" bestFit="1" customWidth="1"/>
    <col min="8721" max="8722" width="15.83203125" style="252" bestFit="1" customWidth="1"/>
    <col min="8723" max="8724" width="14.5" style="252" bestFit="1" customWidth="1"/>
    <col min="8725" max="8725" width="13.5" style="252" bestFit="1" customWidth="1"/>
    <col min="8726" max="8726" width="9.33203125" style="252"/>
    <col min="8727" max="8727" width="14.5" style="252" bestFit="1" customWidth="1"/>
    <col min="8728" max="8960" width="9.33203125" style="252"/>
    <col min="8961" max="8962" width="0" style="252" hidden="1" customWidth="1"/>
    <col min="8963" max="8963" width="7.83203125" style="252" customWidth="1"/>
    <col min="8964" max="8964" width="5" style="252" customWidth="1"/>
    <col min="8965" max="8965" width="6.5" style="252" customWidth="1"/>
    <col min="8966" max="8966" width="12.1640625" style="252" customWidth="1"/>
    <col min="8967" max="8967" width="99.6640625" style="252" customWidth="1"/>
    <col min="8968" max="8974" width="0" style="252" hidden="1" customWidth="1"/>
    <col min="8975" max="8975" width="26" style="252" customWidth="1"/>
    <col min="8976" max="8976" width="14.5" style="252" bestFit="1" customWidth="1"/>
    <col min="8977" max="8978" width="15.83203125" style="252" bestFit="1" customWidth="1"/>
    <col min="8979" max="8980" width="14.5" style="252" bestFit="1" customWidth="1"/>
    <col min="8981" max="8981" width="13.5" style="252" bestFit="1" customWidth="1"/>
    <col min="8982" max="8982" width="9.33203125" style="252"/>
    <col min="8983" max="8983" width="14.5" style="252" bestFit="1" customWidth="1"/>
    <col min="8984" max="9216" width="9.33203125" style="252"/>
    <col min="9217" max="9218" width="0" style="252" hidden="1" customWidth="1"/>
    <col min="9219" max="9219" width="7.83203125" style="252" customWidth="1"/>
    <col min="9220" max="9220" width="5" style="252" customWidth="1"/>
    <col min="9221" max="9221" width="6.5" style="252" customWidth="1"/>
    <col min="9222" max="9222" width="12.1640625" style="252" customWidth="1"/>
    <col min="9223" max="9223" width="99.6640625" style="252" customWidth="1"/>
    <col min="9224" max="9230" width="0" style="252" hidden="1" customWidth="1"/>
    <col min="9231" max="9231" width="26" style="252" customWidth="1"/>
    <col min="9232" max="9232" width="14.5" style="252" bestFit="1" customWidth="1"/>
    <col min="9233" max="9234" width="15.83203125" style="252" bestFit="1" customWidth="1"/>
    <col min="9235" max="9236" width="14.5" style="252" bestFit="1" customWidth="1"/>
    <col min="9237" max="9237" width="13.5" style="252" bestFit="1" customWidth="1"/>
    <col min="9238" max="9238" width="9.33203125" style="252"/>
    <col min="9239" max="9239" width="14.5" style="252" bestFit="1" customWidth="1"/>
    <col min="9240" max="9472" width="9.33203125" style="252"/>
    <col min="9473" max="9474" width="0" style="252" hidden="1" customWidth="1"/>
    <col min="9475" max="9475" width="7.83203125" style="252" customWidth="1"/>
    <col min="9476" max="9476" width="5" style="252" customWidth="1"/>
    <col min="9477" max="9477" width="6.5" style="252" customWidth="1"/>
    <col min="9478" max="9478" width="12.1640625" style="252" customWidth="1"/>
    <col min="9479" max="9479" width="99.6640625" style="252" customWidth="1"/>
    <col min="9480" max="9486" width="0" style="252" hidden="1" customWidth="1"/>
    <col min="9487" max="9487" width="26" style="252" customWidth="1"/>
    <col min="9488" max="9488" width="14.5" style="252" bestFit="1" customWidth="1"/>
    <col min="9489" max="9490" width="15.83203125" style="252" bestFit="1" customWidth="1"/>
    <col min="9491" max="9492" width="14.5" style="252" bestFit="1" customWidth="1"/>
    <col min="9493" max="9493" width="13.5" style="252" bestFit="1" customWidth="1"/>
    <col min="9494" max="9494" width="9.33203125" style="252"/>
    <col min="9495" max="9495" width="14.5" style="252" bestFit="1" customWidth="1"/>
    <col min="9496" max="9728" width="9.33203125" style="252"/>
    <col min="9729" max="9730" width="0" style="252" hidden="1" customWidth="1"/>
    <col min="9731" max="9731" width="7.83203125" style="252" customWidth="1"/>
    <col min="9732" max="9732" width="5" style="252" customWidth="1"/>
    <col min="9733" max="9733" width="6.5" style="252" customWidth="1"/>
    <col min="9734" max="9734" width="12.1640625" style="252" customWidth="1"/>
    <col min="9735" max="9735" width="99.6640625" style="252" customWidth="1"/>
    <col min="9736" max="9742" width="0" style="252" hidden="1" customWidth="1"/>
    <col min="9743" max="9743" width="26" style="252" customWidth="1"/>
    <col min="9744" max="9744" width="14.5" style="252" bestFit="1" customWidth="1"/>
    <col min="9745" max="9746" width="15.83203125" style="252" bestFit="1" customWidth="1"/>
    <col min="9747" max="9748" width="14.5" style="252" bestFit="1" customWidth="1"/>
    <col min="9749" max="9749" width="13.5" style="252" bestFit="1" customWidth="1"/>
    <col min="9750" max="9750" width="9.33203125" style="252"/>
    <col min="9751" max="9751" width="14.5" style="252" bestFit="1" customWidth="1"/>
    <col min="9752" max="9984" width="9.33203125" style="252"/>
    <col min="9985" max="9986" width="0" style="252" hidden="1" customWidth="1"/>
    <col min="9987" max="9987" width="7.83203125" style="252" customWidth="1"/>
    <col min="9988" max="9988" width="5" style="252" customWidth="1"/>
    <col min="9989" max="9989" width="6.5" style="252" customWidth="1"/>
    <col min="9990" max="9990" width="12.1640625" style="252" customWidth="1"/>
    <col min="9991" max="9991" width="99.6640625" style="252" customWidth="1"/>
    <col min="9992" max="9998" width="0" style="252" hidden="1" customWidth="1"/>
    <col min="9999" max="9999" width="26" style="252" customWidth="1"/>
    <col min="10000" max="10000" width="14.5" style="252" bestFit="1" customWidth="1"/>
    <col min="10001" max="10002" width="15.83203125" style="252" bestFit="1" customWidth="1"/>
    <col min="10003" max="10004" width="14.5" style="252" bestFit="1" customWidth="1"/>
    <col min="10005" max="10005" width="13.5" style="252" bestFit="1" customWidth="1"/>
    <col min="10006" max="10006" width="9.33203125" style="252"/>
    <col min="10007" max="10007" width="14.5" style="252" bestFit="1" customWidth="1"/>
    <col min="10008" max="10240" width="9.33203125" style="252"/>
    <col min="10241" max="10242" width="0" style="252" hidden="1" customWidth="1"/>
    <col min="10243" max="10243" width="7.83203125" style="252" customWidth="1"/>
    <col min="10244" max="10244" width="5" style="252" customWidth="1"/>
    <col min="10245" max="10245" width="6.5" style="252" customWidth="1"/>
    <col min="10246" max="10246" width="12.1640625" style="252" customWidth="1"/>
    <col min="10247" max="10247" width="99.6640625" style="252" customWidth="1"/>
    <col min="10248" max="10254" width="0" style="252" hidden="1" customWidth="1"/>
    <col min="10255" max="10255" width="26" style="252" customWidth="1"/>
    <col min="10256" max="10256" width="14.5" style="252" bestFit="1" customWidth="1"/>
    <col min="10257" max="10258" width="15.83203125" style="252" bestFit="1" customWidth="1"/>
    <col min="10259" max="10260" width="14.5" style="252" bestFit="1" customWidth="1"/>
    <col min="10261" max="10261" width="13.5" style="252" bestFit="1" customWidth="1"/>
    <col min="10262" max="10262" width="9.33203125" style="252"/>
    <col min="10263" max="10263" width="14.5" style="252" bestFit="1" customWidth="1"/>
    <col min="10264" max="10496" width="9.33203125" style="252"/>
    <col min="10497" max="10498" width="0" style="252" hidden="1" customWidth="1"/>
    <col min="10499" max="10499" width="7.83203125" style="252" customWidth="1"/>
    <col min="10500" max="10500" width="5" style="252" customWidth="1"/>
    <col min="10501" max="10501" width="6.5" style="252" customWidth="1"/>
    <col min="10502" max="10502" width="12.1640625" style="252" customWidth="1"/>
    <col min="10503" max="10503" width="99.6640625" style="252" customWidth="1"/>
    <col min="10504" max="10510" width="0" style="252" hidden="1" customWidth="1"/>
    <col min="10511" max="10511" width="26" style="252" customWidth="1"/>
    <col min="10512" max="10512" width="14.5" style="252" bestFit="1" customWidth="1"/>
    <col min="10513" max="10514" width="15.83203125" style="252" bestFit="1" customWidth="1"/>
    <col min="10515" max="10516" width="14.5" style="252" bestFit="1" customWidth="1"/>
    <col min="10517" max="10517" width="13.5" style="252" bestFit="1" customWidth="1"/>
    <col min="10518" max="10518" width="9.33203125" style="252"/>
    <col min="10519" max="10519" width="14.5" style="252" bestFit="1" customWidth="1"/>
    <col min="10520" max="10752" width="9.33203125" style="252"/>
    <col min="10753" max="10754" width="0" style="252" hidden="1" customWidth="1"/>
    <col min="10755" max="10755" width="7.83203125" style="252" customWidth="1"/>
    <col min="10756" max="10756" width="5" style="252" customWidth="1"/>
    <col min="10757" max="10757" width="6.5" style="252" customWidth="1"/>
    <col min="10758" max="10758" width="12.1640625" style="252" customWidth="1"/>
    <col min="10759" max="10759" width="99.6640625" style="252" customWidth="1"/>
    <col min="10760" max="10766" width="0" style="252" hidden="1" customWidth="1"/>
    <col min="10767" max="10767" width="26" style="252" customWidth="1"/>
    <col min="10768" max="10768" width="14.5" style="252" bestFit="1" customWidth="1"/>
    <col min="10769" max="10770" width="15.83203125" style="252" bestFit="1" customWidth="1"/>
    <col min="10771" max="10772" width="14.5" style="252" bestFit="1" customWidth="1"/>
    <col min="10773" max="10773" width="13.5" style="252" bestFit="1" customWidth="1"/>
    <col min="10774" max="10774" width="9.33203125" style="252"/>
    <col min="10775" max="10775" width="14.5" style="252" bestFit="1" customWidth="1"/>
    <col min="10776" max="11008" width="9.33203125" style="252"/>
    <col min="11009" max="11010" width="0" style="252" hidden="1" customWidth="1"/>
    <col min="11011" max="11011" width="7.83203125" style="252" customWidth="1"/>
    <col min="11012" max="11012" width="5" style="252" customWidth="1"/>
    <col min="11013" max="11013" width="6.5" style="252" customWidth="1"/>
    <col min="11014" max="11014" width="12.1640625" style="252" customWidth="1"/>
    <col min="11015" max="11015" width="99.6640625" style="252" customWidth="1"/>
    <col min="11016" max="11022" width="0" style="252" hidden="1" customWidth="1"/>
    <col min="11023" max="11023" width="26" style="252" customWidth="1"/>
    <col min="11024" max="11024" width="14.5" style="252" bestFit="1" customWidth="1"/>
    <col min="11025" max="11026" width="15.83203125" style="252" bestFit="1" customWidth="1"/>
    <col min="11027" max="11028" width="14.5" style="252" bestFit="1" customWidth="1"/>
    <col min="11029" max="11029" width="13.5" style="252" bestFit="1" customWidth="1"/>
    <col min="11030" max="11030" width="9.33203125" style="252"/>
    <col min="11031" max="11031" width="14.5" style="252" bestFit="1" customWidth="1"/>
    <col min="11032" max="11264" width="9.33203125" style="252"/>
    <col min="11265" max="11266" width="0" style="252" hidden="1" customWidth="1"/>
    <col min="11267" max="11267" width="7.83203125" style="252" customWidth="1"/>
    <col min="11268" max="11268" width="5" style="252" customWidth="1"/>
    <col min="11269" max="11269" width="6.5" style="252" customWidth="1"/>
    <col min="11270" max="11270" width="12.1640625" style="252" customWidth="1"/>
    <col min="11271" max="11271" width="99.6640625" style="252" customWidth="1"/>
    <col min="11272" max="11278" width="0" style="252" hidden="1" customWidth="1"/>
    <col min="11279" max="11279" width="26" style="252" customWidth="1"/>
    <col min="11280" max="11280" width="14.5" style="252" bestFit="1" customWidth="1"/>
    <col min="11281" max="11282" width="15.83203125" style="252" bestFit="1" customWidth="1"/>
    <col min="11283" max="11284" width="14.5" style="252" bestFit="1" customWidth="1"/>
    <col min="11285" max="11285" width="13.5" style="252" bestFit="1" customWidth="1"/>
    <col min="11286" max="11286" width="9.33203125" style="252"/>
    <col min="11287" max="11287" width="14.5" style="252" bestFit="1" customWidth="1"/>
    <col min="11288" max="11520" width="9.33203125" style="252"/>
    <col min="11521" max="11522" width="0" style="252" hidden="1" customWidth="1"/>
    <col min="11523" max="11523" width="7.83203125" style="252" customWidth="1"/>
    <col min="11524" max="11524" width="5" style="252" customWidth="1"/>
    <col min="11525" max="11525" width="6.5" style="252" customWidth="1"/>
    <col min="11526" max="11526" width="12.1640625" style="252" customWidth="1"/>
    <col min="11527" max="11527" width="99.6640625" style="252" customWidth="1"/>
    <col min="11528" max="11534" width="0" style="252" hidden="1" customWidth="1"/>
    <col min="11535" max="11535" width="26" style="252" customWidth="1"/>
    <col min="11536" max="11536" width="14.5" style="252" bestFit="1" customWidth="1"/>
    <col min="11537" max="11538" width="15.83203125" style="252" bestFit="1" customWidth="1"/>
    <col min="11539" max="11540" width="14.5" style="252" bestFit="1" customWidth="1"/>
    <col min="11541" max="11541" width="13.5" style="252" bestFit="1" customWidth="1"/>
    <col min="11542" max="11542" width="9.33203125" style="252"/>
    <col min="11543" max="11543" width="14.5" style="252" bestFit="1" customWidth="1"/>
    <col min="11544" max="11776" width="9.33203125" style="252"/>
    <col min="11777" max="11778" width="0" style="252" hidden="1" customWidth="1"/>
    <col min="11779" max="11779" width="7.83203125" style="252" customWidth="1"/>
    <col min="11780" max="11780" width="5" style="252" customWidth="1"/>
    <col min="11781" max="11781" width="6.5" style="252" customWidth="1"/>
    <col min="11782" max="11782" width="12.1640625" style="252" customWidth="1"/>
    <col min="11783" max="11783" width="99.6640625" style="252" customWidth="1"/>
    <col min="11784" max="11790" width="0" style="252" hidden="1" customWidth="1"/>
    <col min="11791" max="11791" width="26" style="252" customWidth="1"/>
    <col min="11792" max="11792" width="14.5" style="252" bestFit="1" customWidth="1"/>
    <col min="11793" max="11794" width="15.83203125" style="252" bestFit="1" customWidth="1"/>
    <col min="11795" max="11796" width="14.5" style="252" bestFit="1" customWidth="1"/>
    <col min="11797" max="11797" width="13.5" style="252" bestFit="1" customWidth="1"/>
    <col min="11798" max="11798" width="9.33203125" style="252"/>
    <col min="11799" max="11799" width="14.5" style="252" bestFit="1" customWidth="1"/>
    <col min="11800" max="12032" width="9.33203125" style="252"/>
    <col min="12033" max="12034" width="0" style="252" hidden="1" customWidth="1"/>
    <col min="12035" max="12035" width="7.83203125" style="252" customWidth="1"/>
    <col min="12036" max="12036" width="5" style="252" customWidth="1"/>
    <col min="12037" max="12037" width="6.5" style="252" customWidth="1"/>
    <col min="12038" max="12038" width="12.1640625" style="252" customWidth="1"/>
    <col min="12039" max="12039" width="99.6640625" style="252" customWidth="1"/>
    <col min="12040" max="12046" width="0" style="252" hidden="1" customWidth="1"/>
    <col min="12047" max="12047" width="26" style="252" customWidth="1"/>
    <col min="12048" max="12048" width="14.5" style="252" bestFit="1" customWidth="1"/>
    <col min="12049" max="12050" width="15.83203125" style="252" bestFit="1" customWidth="1"/>
    <col min="12051" max="12052" width="14.5" style="252" bestFit="1" customWidth="1"/>
    <col min="12053" max="12053" width="13.5" style="252" bestFit="1" customWidth="1"/>
    <col min="12054" max="12054" width="9.33203125" style="252"/>
    <col min="12055" max="12055" width="14.5" style="252" bestFit="1" customWidth="1"/>
    <col min="12056" max="12288" width="9.33203125" style="252"/>
    <col min="12289" max="12290" width="0" style="252" hidden="1" customWidth="1"/>
    <col min="12291" max="12291" width="7.83203125" style="252" customWidth="1"/>
    <col min="12292" max="12292" width="5" style="252" customWidth="1"/>
    <col min="12293" max="12293" width="6.5" style="252" customWidth="1"/>
    <col min="12294" max="12294" width="12.1640625" style="252" customWidth="1"/>
    <col min="12295" max="12295" width="99.6640625" style="252" customWidth="1"/>
    <col min="12296" max="12302" width="0" style="252" hidden="1" customWidth="1"/>
    <col min="12303" max="12303" width="26" style="252" customWidth="1"/>
    <col min="12304" max="12304" width="14.5" style="252" bestFit="1" customWidth="1"/>
    <col min="12305" max="12306" width="15.83203125" style="252" bestFit="1" customWidth="1"/>
    <col min="12307" max="12308" width="14.5" style="252" bestFit="1" customWidth="1"/>
    <col min="12309" max="12309" width="13.5" style="252" bestFit="1" customWidth="1"/>
    <col min="12310" max="12310" width="9.33203125" style="252"/>
    <col min="12311" max="12311" width="14.5" style="252" bestFit="1" customWidth="1"/>
    <col min="12312" max="12544" width="9.33203125" style="252"/>
    <col min="12545" max="12546" width="0" style="252" hidden="1" customWidth="1"/>
    <col min="12547" max="12547" width="7.83203125" style="252" customWidth="1"/>
    <col min="12548" max="12548" width="5" style="252" customWidth="1"/>
    <col min="12549" max="12549" width="6.5" style="252" customWidth="1"/>
    <col min="12550" max="12550" width="12.1640625" style="252" customWidth="1"/>
    <col min="12551" max="12551" width="99.6640625" style="252" customWidth="1"/>
    <col min="12552" max="12558" width="0" style="252" hidden="1" customWidth="1"/>
    <col min="12559" max="12559" width="26" style="252" customWidth="1"/>
    <col min="12560" max="12560" width="14.5" style="252" bestFit="1" customWidth="1"/>
    <col min="12561" max="12562" width="15.83203125" style="252" bestFit="1" customWidth="1"/>
    <col min="12563" max="12564" width="14.5" style="252" bestFit="1" customWidth="1"/>
    <col min="12565" max="12565" width="13.5" style="252" bestFit="1" customWidth="1"/>
    <col min="12566" max="12566" width="9.33203125" style="252"/>
    <col min="12567" max="12567" width="14.5" style="252" bestFit="1" customWidth="1"/>
    <col min="12568" max="12800" width="9.33203125" style="252"/>
    <col min="12801" max="12802" width="0" style="252" hidden="1" customWidth="1"/>
    <col min="12803" max="12803" width="7.83203125" style="252" customWidth="1"/>
    <col min="12804" max="12804" width="5" style="252" customWidth="1"/>
    <col min="12805" max="12805" width="6.5" style="252" customWidth="1"/>
    <col min="12806" max="12806" width="12.1640625" style="252" customWidth="1"/>
    <col min="12807" max="12807" width="99.6640625" style="252" customWidth="1"/>
    <col min="12808" max="12814" width="0" style="252" hidden="1" customWidth="1"/>
    <col min="12815" max="12815" width="26" style="252" customWidth="1"/>
    <col min="12816" max="12816" width="14.5" style="252" bestFit="1" customWidth="1"/>
    <col min="12817" max="12818" width="15.83203125" style="252" bestFit="1" customWidth="1"/>
    <col min="12819" max="12820" width="14.5" style="252" bestFit="1" customWidth="1"/>
    <col min="12821" max="12821" width="13.5" style="252" bestFit="1" customWidth="1"/>
    <col min="12822" max="12822" width="9.33203125" style="252"/>
    <col min="12823" max="12823" width="14.5" style="252" bestFit="1" customWidth="1"/>
    <col min="12824" max="13056" width="9.33203125" style="252"/>
    <col min="13057" max="13058" width="0" style="252" hidden="1" customWidth="1"/>
    <col min="13059" max="13059" width="7.83203125" style="252" customWidth="1"/>
    <col min="13060" max="13060" width="5" style="252" customWidth="1"/>
    <col min="13061" max="13061" width="6.5" style="252" customWidth="1"/>
    <col min="13062" max="13062" width="12.1640625" style="252" customWidth="1"/>
    <col min="13063" max="13063" width="99.6640625" style="252" customWidth="1"/>
    <col min="13064" max="13070" width="0" style="252" hidden="1" customWidth="1"/>
    <col min="13071" max="13071" width="26" style="252" customWidth="1"/>
    <col min="13072" max="13072" width="14.5" style="252" bestFit="1" customWidth="1"/>
    <col min="13073" max="13074" width="15.83203125" style="252" bestFit="1" customWidth="1"/>
    <col min="13075" max="13076" width="14.5" style="252" bestFit="1" customWidth="1"/>
    <col min="13077" max="13077" width="13.5" style="252" bestFit="1" customWidth="1"/>
    <col min="13078" max="13078" width="9.33203125" style="252"/>
    <col min="13079" max="13079" width="14.5" style="252" bestFit="1" customWidth="1"/>
    <col min="13080" max="13312" width="9.33203125" style="252"/>
    <col min="13313" max="13314" width="0" style="252" hidden="1" customWidth="1"/>
    <col min="13315" max="13315" width="7.83203125" style="252" customWidth="1"/>
    <col min="13316" max="13316" width="5" style="252" customWidth="1"/>
    <col min="13317" max="13317" width="6.5" style="252" customWidth="1"/>
    <col min="13318" max="13318" width="12.1640625" style="252" customWidth="1"/>
    <col min="13319" max="13319" width="99.6640625" style="252" customWidth="1"/>
    <col min="13320" max="13326" width="0" style="252" hidden="1" customWidth="1"/>
    <col min="13327" max="13327" width="26" style="252" customWidth="1"/>
    <col min="13328" max="13328" width="14.5" style="252" bestFit="1" customWidth="1"/>
    <col min="13329" max="13330" width="15.83203125" style="252" bestFit="1" customWidth="1"/>
    <col min="13331" max="13332" width="14.5" style="252" bestFit="1" customWidth="1"/>
    <col min="13333" max="13333" width="13.5" style="252" bestFit="1" customWidth="1"/>
    <col min="13334" max="13334" width="9.33203125" style="252"/>
    <col min="13335" max="13335" width="14.5" style="252" bestFit="1" customWidth="1"/>
    <col min="13336" max="13568" width="9.33203125" style="252"/>
    <col min="13569" max="13570" width="0" style="252" hidden="1" customWidth="1"/>
    <col min="13571" max="13571" width="7.83203125" style="252" customWidth="1"/>
    <col min="13572" max="13572" width="5" style="252" customWidth="1"/>
    <col min="13573" max="13573" width="6.5" style="252" customWidth="1"/>
    <col min="13574" max="13574" width="12.1640625" style="252" customWidth="1"/>
    <col min="13575" max="13575" width="99.6640625" style="252" customWidth="1"/>
    <col min="13576" max="13582" width="0" style="252" hidden="1" customWidth="1"/>
    <col min="13583" max="13583" width="26" style="252" customWidth="1"/>
    <col min="13584" max="13584" width="14.5" style="252" bestFit="1" customWidth="1"/>
    <col min="13585" max="13586" width="15.83203125" style="252" bestFit="1" customWidth="1"/>
    <col min="13587" max="13588" width="14.5" style="252" bestFit="1" customWidth="1"/>
    <col min="13589" max="13589" width="13.5" style="252" bestFit="1" customWidth="1"/>
    <col min="13590" max="13590" width="9.33203125" style="252"/>
    <col min="13591" max="13591" width="14.5" style="252" bestFit="1" customWidth="1"/>
    <col min="13592" max="13824" width="9.33203125" style="252"/>
    <col min="13825" max="13826" width="0" style="252" hidden="1" customWidth="1"/>
    <col min="13827" max="13827" width="7.83203125" style="252" customWidth="1"/>
    <col min="13828" max="13828" width="5" style="252" customWidth="1"/>
    <col min="13829" max="13829" width="6.5" style="252" customWidth="1"/>
    <col min="13830" max="13830" width="12.1640625" style="252" customWidth="1"/>
    <col min="13831" max="13831" width="99.6640625" style="252" customWidth="1"/>
    <col min="13832" max="13838" width="0" style="252" hidden="1" customWidth="1"/>
    <col min="13839" max="13839" width="26" style="252" customWidth="1"/>
    <col min="13840" max="13840" width="14.5" style="252" bestFit="1" customWidth="1"/>
    <col min="13841" max="13842" width="15.83203125" style="252" bestFit="1" customWidth="1"/>
    <col min="13843" max="13844" width="14.5" style="252" bestFit="1" customWidth="1"/>
    <col min="13845" max="13845" width="13.5" style="252" bestFit="1" customWidth="1"/>
    <col min="13846" max="13846" width="9.33203125" style="252"/>
    <col min="13847" max="13847" width="14.5" style="252" bestFit="1" customWidth="1"/>
    <col min="13848" max="14080" width="9.33203125" style="252"/>
    <col min="14081" max="14082" width="0" style="252" hidden="1" customWidth="1"/>
    <col min="14083" max="14083" width="7.83203125" style="252" customWidth="1"/>
    <col min="14084" max="14084" width="5" style="252" customWidth="1"/>
    <col min="14085" max="14085" width="6.5" style="252" customWidth="1"/>
    <col min="14086" max="14086" width="12.1640625" style="252" customWidth="1"/>
    <col min="14087" max="14087" width="99.6640625" style="252" customWidth="1"/>
    <col min="14088" max="14094" width="0" style="252" hidden="1" customWidth="1"/>
    <col min="14095" max="14095" width="26" style="252" customWidth="1"/>
    <col min="14096" max="14096" width="14.5" style="252" bestFit="1" customWidth="1"/>
    <col min="14097" max="14098" width="15.83203125" style="252" bestFit="1" customWidth="1"/>
    <col min="14099" max="14100" width="14.5" style="252" bestFit="1" customWidth="1"/>
    <col min="14101" max="14101" width="13.5" style="252" bestFit="1" customWidth="1"/>
    <col min="14102" max="14102" width="9.33203125" style="252"/>
    <col min="14103" max="14103" width="14.5" style="252" bestFit="1" customWidth="1"/>
    <col min="14104" max="14336" width="9.33203125" style="252"/>
    <col min="14337" max="14338" width="0" style="252" hidden="1" customWidth="1"/>
    <col min="14339" max="14339" width="7.83203125" style="252" customWidth="1"/>
    <col min="14340" max="14340" width="5" style="252" customWidth="1"/>
    <col min="14341" max="14341" width="6.5" style="252" customWidth="1"/>
    <col min="14342" max="14342" width="12.1640625" style="252" customWidth="1"/>
    <col min="14343" max="14343" width="99.6640625" style="252" customWidth="1"/>
    <col min="14344" max="14350" width="0" style="252" hidden="1" customWidth="1"/>
    <col min="14351" max="14351" width="26" style="252" customWidth="1"/>
    <col min="14352" max="14352" width="14.5" style="252" bestFit="1" customWidth="1"/>
    <col min="14353" max="14354" width="15.83203125" style="252" bestFit="1" customWidth="1"/>
    <col min="14355" max="14356" width="14.5" style="252" bestFit="1" customWidth="1"/>
    <col min="14357" max="14357" width="13.5" style="252" bestFit="1" customWidth="1"/>
    <col min="14358" max="14358" width="9.33203125" style="252"/>
    <col min="14359" max="14359" width="14.5" style="252" bestFit="1" customWidth="1"/>
    <col min="14360" max="14592" width="9.33203125" style="252"/>
    <col min="14593" max="14594" width="0" style="252" hidden="1" customWidth="1"/>
    <col min="14595" max="14595" width="7.83203125" style="252" customWidth="1"/>
    <col min="14596" max="14596" width="5" style="252" customWidth="1"/>
    <col min="14597" max="14597" width="6.5" style="252" customWidth="1"/>
    <col min="14598" max="14598" width="12.1640625" style="252" customWidth="1"/>
    <col min="14599" max="14599" width="99.6640625" style="252" customWidth="1"/>
    <col min="14600" max="14606" width="0" style="252" hidden="1" customWidth="1"/>
    <col min="14607" max="14607" width="26" style="252" customWidth="1"/>
    <col min="14608" max="14608" width="14.5" style="252" bestFit="1" customWidth="1"/>
    <col min="14609" max="14610" width="15.83203125" style="252" bestFit="1" customWidth="1"/>
    <col min="14611" max="14612" width="14.5" style="252" bestFit="1" customWidth="1"/>
    <col min="14613" max="14613" width="13.5" style="252" bestFit="1" customWidth="1"/>
    <col min="14614" max="14614" width="9.33203125" style="252"/>
    <col min="14615" max="14615" width="14.5" style="252" bestFit="1" customWidth="1"/>
    <col min="14616" max="14848" width="9.33203125" style="252"/>
    <col min="14849" max="14850" width="0" style="252" hidden="1" customWidth="1"/>
    <col min="14851" max="14851" width="7.83203125" style="252" customWidth="1"/>
    <col min="14852" max="14852" width="5" style="252" customWidth="1"/>
    <col min="14853" max="14853" width="6.5" style="252" customWidth="1"/>
    <col min="14854" max="14854" width="12.1640625" style="252" customWidth="1"/>
    <col min="14855" max="14855" width="99.6640625" style="252" customWidth="1"/>
    <col min="14856" max="14862" width="0" style="252" hidden="1" customWidth="1"/>
    <col min="14863" max="14863" width="26" style="252" customWidth="1"/>
    <col min="14864" max="14864" width="14.5" style="252" bestFit="1" customWidth="1"/>
    <col min="14865" max="14866" width="15.83203125" style="252" bestFit="1" customWidth="1"/>
    <col min="14867" max="14868" width="14.5" style="252" bestFit="1" customWidth="1"/>
    <col min="14869" max="14869" width="13.5" style="252" bestFit="1" customWidth="1"/>
    <col min="14870" max="14870" width="9.33203125" style="252"/>
    <col min="14871" max="14871" width="14.5" style="252" bestFit="1" customWidth="1"/>
    <col min="14872" max="15104" width="9.33203125" style="252"/>
    <col min="15105" max="15106" width="0" style="252" hidden="1" customWidth="1"/>
    <col min="15107" max="15107" width="7.83203125" style="252" customWidth="1"/>
    <col min="15108" max="15108" width="5" style="252" customWidth="1"/>
    <col min="15109" max="15109" width="6.5" style="252" customWidth="1"/>
    <col min="15110" max="15110" width="12.1640625" style="252" customWidth="1"/>
    <col min="15111" max="15111" width="99.6640625" style="252" customWidth="1"/>
    <col min="15112" max="15118" width="0" style="252" hidden="1" customWidth="1"/>
    <col min="15119" max="15119" width="26" style="252" customWidth="1"/>
    <col min="15120" max="15120" width="14.5" style="252" bestFit="1" customWidth="1"/>
    <col min="15121" max="15122" width="15.83203125" style="252" bestFit="1" customWidth="1"/>
    <col min="15123" max="15124" width="14.5" style="252" bestFit="1" customWidth="1"/>
    <col min="15125" max="15125" width="13.5" style="252" bestFit="1" customWidth="1"/>
    <col min="15126" max="15126" width="9.33203125" style="252"/>
    <col min="15127" max="15127" width="14.5" style="252" bestFit="1" customWidth="1"/>
    <col min="15128" max="15360" width="9.33203125" style="252"/>
    <col min="15361" max="15362" width="0" style="252" hidden="1" customWidth="1"/>
    <col min="15363" max="15363" width="7.83203125" style="252" customWidth="1"/>
    <col min="15364" max="15364" width="5" style="252" customWidth="1"/>
    <col min="15365" max="15365" width="6.5" style="252" customWidth="1"/>
    <col min="15366" max="15366" width="12.1640625" style="252" customWidth="1"/>
    <col min="15367" max="15367" width="99.6640625" style="252" customWidth="1"/>
    <col min="15368" max="15374" width="0" style="252" hidden="1" customWidth="1"/>
    <col min="15375" max="15375" width="26" style="252" customWidth="1"/>
    <col min="15376" max="15376" width="14.5" style="252" bestFit="1" customWidth="1"/>
    <col min="15377" max="15378" width="15.83203125" style="252" bestFit="1" customWidth="1"/>
    <col min="15379" max="15380" width="14.5" style="252" bestFit="1" customWidth="1"/>
    <col min="15381" max="15381" width="13.5" style="252" bestFit="1" customWidth="1"/>
    <col min="15382" max="15382" width="9.33203125" style="252"/>
    <col min="15383" max="15383" width="14.5" style="252" bestFit="1" customWidth="1"/>
    <col min="15384" max="15616" width="9.33203125" style="252"/>
    <col min="15617" max="15618" width="0" style="252" hidden="1" customWidth="1"/>
    <col min="15619" max="15619" width="7.83203125" style="252" customWidth="1"/>
    <col min="15620" max="15620" width="5" style="252" customWidth="1"/>
    <col min="15621" max="15621" width="6.5" style="252" customWidth="1"/>
    <col min="15622" max="15622" width="12.1640625" style="252" customWidth="1"/>
    <col min="15623" max="15623" width="99.6640625" style="252" customWidth="1"/>
    <col min="15624" max="15630" width="0" style="252" hidden="1" customWidth="1"/>
    <col min="15631" max="15631" width="26" style="252" customWidth="1"/>
    <col min="15632" max="15632" width="14.5" style="252" bestFit="1" customWidth="1"/>
    <col min="15633" max="15634" width="15.83203125" style="252" bestFit="1" customWidth="1"/>
    <col min="15635" max="15636" width="14.5" style="252" bestFit="1" customWidth="1"/>
    <col min="15637" max="15637" width="13.5" style="252" bestFit="1" customWidth="1"/>
    <col min="15638" max="15638" width="9.33203125" style="252"/>
    <col min="15639" max="15639" width="14.5" style="252" bestFit="1" customWidth="1"/>
    <col min="15640" max="15872" width="9.33203125" style="252"/>
    <col min="15873" max="15874" width="0" style="252" hidden="1" customWidth="1"/>
    <col min="15875" max="15875" width="7.83203125" style="252" customWidth="1"/>
    <col min="15876" max="15876" width="5" style="252" customWidth="1"/>
    <col min="15877" max="15877" width="6.5" style="252" customWidth="1"/>
    <col min="15878" max="15878" width="12.1640625" style="252" customWidth="1"/>
    <col min="15879" max="15879" width="99.6640625" style="252" customWidth="1"/>
    <col min="15880" max="15886" width="0" style="252" hidden="1" customWidth="1"/>
    <col min="15887" max="15887" width="26" style="252" customWidth="1"/>
    <col min="15888" max="15888" width="14.5" style="252" bestFit="1" customWidth="1"/>
    <col min="15889" max="15890" width="15.83203125" style="252" bestFit="1" customWidth="1"/>
    <col min="15891" max="15892" width="14.5" style="252" bestFit="1" customWidth="1"/>
    <col min="15893" max="15893" width="13.5" style="252" bestFit="1" customWidth="1"/>
    <col min="15894" max="15894" width="9.33203125" style="252"/>
    <col min="15895" max="15895" width="14.5" style="252" bestFit="1" customWidth="1"/>
    <col min="15896" max="16128" width="9.33203125" style="252"/>
    <col min="16129" max="16130" width="0" style="252" hidden="1" customWidth="1"/>
    <col min="16131" max="16131" width="7.83203125" style="252" customWidth="1"/>
    <col min="16132" max="16132" width="5" style="252" customWidth="1"/>
    <col min="16133" max="16133" width="6.5" style="252" customWidth="1"/>
    <col min="16134" max="16134" width="12.1640625" style="252" customWidth="1"/>
    <col min="16135" max="16135" width="99.6640625" style="252" customWidth="1"/>
    <col min="16136" max="16142" width="0" style="252" hidden="1" customWidth="1"/>
    <col min="16143" max="16143" width="26" style="252" customWidth="1"/>
    <col min="16144" max="16144" width="14.5" style="252" bestFit="1" customWidth="1"/>
    <col min="16145" max="16146" width="15.83203125" style="252" bestFit="1" customWidth="1"/>
    <col min="16147" max="16148" width="14.5" style="252" bestFit="1" customWidth="1"/>
    <col min="16149" max="16149" width="13.5" style="252" bestFit="1" customWidth="1"/>
    <col min="16150" max="16150" width="9.33203125" style="252"/>
    <col min="16151" max="16151" width="14.5" style="252" bestFit="1" customWidth="1"/>
    <col min="16152" max="16384" width="9.33203125" style="252"/>
  </cols>
  <sheetData>
    <row r="1" spans="3:19" x14ac:dyDescent="0.25">
      <c r="D1" s="251" t="s">
        <v>693</v>
      </c>
      <c r="O1" s="62" t="s">
        <v>694</v>
      </c>
    </row>
    <row r="2" spans="3:19" x14ac:dyDescent="0.25">
      <c r="O2" s="62" t="s">
        <v>695</v>
      </c>
    </row>
    <row r="3" spans="3:19" ht="45" x14ac:dyDescent="0.25">
      <c r="O3" s="255" t="s">
        <v>1118</v>
      </c>
    </row>
    <row r="4" spans="3:19" ht="59.25" customHeight="1" x14ac:dyDescent="0.25">
      <c r="C4" s="568" t="s">
        <v>696</v>
      </c>
      <c r="D4" s="568"/>
      <c r="E4" s="568"/>
      <c r="F4" s="568"/>
      <c r="G4" s="568"/>
      <c r="H4" s="568"/>
      <c r="I4" s="568"/>
      <c r="J4" s="568"/>
      <c r="K4" s="568"/>
      <c r="L4" s="568"/>
      <c r="M4" s="568"/>
      <c r="N4" s="568"/>
      <c r="O4" s="568"/>
    </row>
    <row r="5" spans="3:19" ht="27.75" hidden="1" customHeight="1" x14ac:dyDescent="0.3">
      <c r="G5" s="256"/>
      <c r="H5" s="252"/>
      <c r="I5" s="252"/>
      <c r="J5" s="252"/>
      <c r="K5" s="252"/>
      <c r="L5" s="252"/>
    </row>
    <row r="6" spans="3:19" ht="20.25" customHeight="1" x14ac:dyDescent="0.3">
      <c r="G6" s="257"/>
      <c r="H6" s="254"/>
      <c r="M6" s="254" t="s">
        <v>697</v>
      </c>
      <c r="O6" s="258" t="s">
        <v>698</v>
      </c>
    </row>
    <row r="7" spans="3:19" s="264" customFormat="1" ht="63.75" customHeight="1" x14ac:dyDescent="0.25">
      <c r="C7" s="569" t="s">
        <v>699</v>
      </c>
      <c r="D7" s="570"/>
      <c r="E7" s="570"/>
      <c r="F7" s="571"/>
      <c r="G7" s="259" t="s">
        <v>3</v>
      </c>
      <c r="H7" s="260" t="s">
        <v>700</v>
      </c>
      <c r="I7" s="261" t="s">
        <v>701</v>
      </c>
      <c r="J7" s="262" t="s">
        <v>702</v>
      </c>
      <c r="K7" s="262" t="s">
        <v>703</v>
      </c>
      <c r="L7" s="263" t="s">
        <v>704</v>
      </c>
      <c r="M7" s="263" t="s">
        <v>705</v>
      </c>
      <c r="O7" s="260" t="s">
        <v>706</v>
      </c>
    </row>
    <row r="8" spans="3:19" s="264" customFormat="1" ht="24" customHeight="1" x14ac:dyDescent="0.25">
      <c r="C8" s="265" t="s">
        <v>707</v>
      </c>
      <c r="D8" s="265" t="s">
        <v>708</v>
      </c>
      <c r="E8" s="265" t="s">
        <v>707</v>
      </c>
      <c r="F8" s="265" t="s">
        <v>709</v>
      </c>
      <c r="G8" s="266" t="s">
        <v>639</v>
      </c>
      <c r="H8" s="267" t="e">
        <f>#REF!+#REF!+#REF!+#REF!+#REF!+#REF!+#REF!+#REF!+#REF!+#REF!+#REF!+#REF!+#REF!</f>
        <v>#REF!</v>
      </c>
      <c r="I8" s="267" t="e">
        <f>#REF!+#REF!+#REF!+#REF!+#REF!+#REF!+#REF!+#REF!+#REF!+#REF!+#REF!+#REF!+I56</f>
        <v>#REF!</v>
      </c>
      <c r="J8" s="267" t="e">
        <f>#REF!+#REF!+#REF!+#REF!+#REF!+#REF!+#REF!+#REF!+#REF!+#REF!+#REF!+#REF!+J56</f>
        <v>#REF!</v>
      </c>
      <c r="K8" s="267" t="e">
        <f>#REF!+#REF!+#REF!+#REF!+#REF!+#REF!+#REF!+#REF!+#REF!+#REF!+#REF!+#REF!+K56</f>
        <v>#REF!</v>
      </c>
      <c r="L8" s="267" t="e">
        <f>#REF!+#REF!+#REF!+#REF!+#REF!+#REF!+#REF!+#REF!+#REF!+#REF!+#REF!+#REF!+K56</f>
        <v>#REF!</v>
      </c>
      <c r="M8" s="267" t="e">
        <f>#REF!+#REF!+#REF!+#REF!+#REF!+#REF!+#REF!+#REF!+#REF!+#REF!+#REF!+#REF!+L56</f>
        <v>#REF!</v>
      </c>
      <c r="O8" s="268">
        <f>O9+O19+O24+O29+O30+O42+O45+O48+O52+O63</f>
        <v>155846388.89999998</v>
      </c>
      <c r="P8" s="264">
        <v>144655274.09999999</v>
      </c>
      <c r="Q8" s="269">
        <f>P8-O8</f>
        <v>-11191114.799999982</v>
      </c>
      <c r="R8" s="269"/>
      <c r="S8" s="269"/>
    </row>
    <row r="9" spans="3:19" ht="30.75" customHeight="1" x14ac:dyDescent="0.25">
      <c r="C9" s="265" t="s">
        <v>710</v>
      </c>
      <c r="D9" s="265" t="s">
        <v>711</v>
      </c>
      <c r="E9" s="265" t="s">
        <v>707</v>
      </c>
      <c r="F9" s="265" t="s">
        <v>712</v>
      </c>
      <c r="G9" s="266" t="s">
        <v>415</v>
      </c>
      <c r="H9" s="270"/>
      <c r="I9" s="270"/>
      <c r="J9" s="271"/>
      <c r="K9" s="272"/>
      <c r="L9" s="271"/>
      <c r="M9" s="271"/>
      <c r="N9" s="273"/>
      <c r="O9" s="274">
        <f>SUM(O10:O18)</f>
        <v>9975699.4399999995</v>
      </c>
      <c r="Q9" s="253"/>
      <c r="R9" s="253"/>
    </row>
    <row r="10" spans="3:19" x14ac:dyDescent="0.25">
      <c r="C10" s="275" t="s">
        <v>710</v>
      </c>
      <c r="D10" s="275" t="s">
        <v>711</v>
      </c>
      <c r="E10" s="275" t="s">
        <v>707</v>
      </c>
      <c r="F10" s="275" t="s">
        <v>713</v>
      </c>
      <c r="G10" s="276" t="s">
        <v>429</v>
      </c>
      <c r="H10" s="270"/>
      <c r="I10" s="270"/>
      <c r="J10" s="271"/>
      <c r="K10" s="272"/>
      <c r="L10" s="271"/>
      <c r="M10" s="271"/>
      <c r="N10" s="273"/>
      <c r="O10" s="277">
        <v>100000</v>
      </c>
      <c r="Q10" s="253"/>
      <c r="R10" s="253"/>
    </row>
    <row r="11" spans="3:19" x14ac:dyDescent="0.25">
      <c r="C11" s="275" t="s">
        <v>710</v>
      </c>
      <c r="D11" s="275" t="s">
        <v>711</v>
      </c>
      <c r="E11" s="275" t="s">
        <v>707</v>
      </c>
      <c r="F11" s="275" t="s">
        <v>713</v>
      </c>
      <c r="G11" s="276" t="s">
        <v>714</v>
      </c>
      <c r="H11" s="270"/>
      <c r="I11" s="270"/>
      <c r="J11" s="271"/>
      <c r="K11" s="272"/>
      <c r="L11" s="271"/>
      <c r="M11" s="271"/>
      <c r="N11" s="273"/>
      <c r="O11" s="277">
        <v>100000</v>
      </c>
      <c r="Q11" s="253"/>
      <c r="R11" s="253"/>
    </row>
    <row r="12" spans="3:19" x14ac:dyDescent="0.25">
      <c r="C12" s="275" t="s">
        <v>710</v>
      </c>
      <c r="D12" s="275" t="s">
        <v>711</v>
      </c>
      <c r="E12" s="275" t="s">
        <v>707</v>
      </c>
      <c r="F12" s="275" t="s">
        <v>713</v>
      </c>
      <c r="G12" s="276" t="s">
        <v>364</v>
      </c>
      <c r="H12" s="270"/>
      <c r="I12" s="270"/>
      <c r="J12" s="271"/>
      <c r="K12" s="272"/>
      <c r="L12" s="271"/>
      <c r="M12" s="271"/>
      <c r="N12" s="273"/>
      <c r="O12" s="277">
        <v>50000</v>
      </c>
      <c r="Q12" s="253"/>
      <c r="R12" s="253"/>
    </row>
    <row r="13" spans="3:19" x14ac:dyDescent="0.25">
      <c r="C13" s="275" t="s">
        <v>710</v>
      </c>
      <c r="D13" s="275" t="s">
        <v>711</v>
      </c>
      <c r="E13" s="275" t="s">
        <v>707</v>
      </c>
      <c r="F13" s="275" t="s">
        <v>713</v>
      </c>
      <c r="G13" s="276" t="s">
        <v>715</v>
      </c>
      <c r="H13" s="270"/>
      <c r="I13" s="270"/>
      <c r="J13" s="271"/>
      <c r="K13" s="272"/>
      <c r="L13" s="271"/>
      <c r="M13" s="271"/>
      <c r="N13" s="273"/>
      <c r="O13" s="277">
        <v>50000</v>
      </c>
      <c r="Q13" s="253"/>
      <c r="R13" s="253"/>
    </row>
    <row r="14" spans="3:19" x14ac:dyDescent="0.25">
      <c r="C14" s="275" t="s">
        <v>710</v>
      </c>
      <c r="D14" s="275" t="s">
        <v>711</v>
      </c>
      <c r="E14" s="275" t="s">
        <v>707</v>
      </c>
      <c r="F14" s="275" t="s">
        <v>713</v>
      </c>
      <c r="G14" s="276" t="s">
        <v>716</v>
      </c>
      <c r="H14" s="270"/>
      <c r="I14" s="270"/>
      <c r="J14" s="271"/>
      <c r="K14" s="272"/>
      <c r="L14" s="271"/>
      <c r="M14" s="271"/>
      <c r="N14" s="273"/>
      <c r="O14" s="277">
        <v>100120</v>
      </c>
      <c r="Q14" s="253"/>
      <c r="R14" s="253"/>
    </row>
    <row r="15" spans="3:19" ht="30.75" customHeight="1" x14ac:dyDescent="0.25">
      <c r="C15" s="275" t="s">
        <v>710</v>
      </c>
      <c r="D15" s="275" t="s">
        <v>711</v>
      </c>
      <c r="E15" s="275" t="s">
        <v>707</v>
      </c>
      <c r="F15" s="275" t="s">
        <v>713</v>
      </c>
      <c r="G15" s="276" t="s">
        <v>126</v>
      </c>
      <c r="H15" s="270"/>
      <c r="I15" s="270"/>
      <c r="J15" s="271"/>
      <c r="K15" s="272"/>
      <c r="L15" s="271"/>
      <c r="M15" s="271"/>
      <c r="N15" s="273"/>
      <c r="O15" s="277">
        <v>1122000</v>
      </c>
      <c r="Q15" s="253"/>
      <c r="R15" s="253"/>
    </row>
    <row r="16" spans="3:19" ht="30.75" customHeight="1" x14ac:dyDescent="0.25">
      <c r="C16" s="275" t="s">
        <v>710</v>
      </c>
      <c r="D16" s="275" t="s">
        <v>711</v>
      </c>
      <c r="E16" s="275" t="s">
        <v>707</v>
      </c>
      <c r="F16" s="275" t="s">
        <v>713</v>
      </c>
      <c r="G16" s="276" t="s">
        <v>125</v>
      </c>
      <c r="H16" s="270"/>
      <c r="I16" s="270"/>
      <c r="J16" s="271"/>
      <c r="K16" s="272"/>
      <c r="L16" s="271"/>
      <c r="M16" s="271"/>
      <c r="N16" s="273"/>
      <c r="O16" s="277">
        <v>192000</v>
      </c>
      <c r="Q16" s="253"/>
      <c r="R16" s="253"/>
    </row>
    <row r="17" spans="3:18" ht="30.75" customHeight="1" x14ac:dyDescent="0.25">
      <c r="C17" s="275" t="s">
        <v>710</v>
      </c>
      <c r="D17" s="275" t="s">
        <v>711</v>
      </c>
      <c r="E17" s="275" t="s">
        <v>707</v>
      </c>
      <c r="F17" s="275" t="s">
        <v>713</v>
      </c>
      <c r="G17" s="276" t="s">
        <v>124</v>
      </c>
      <c r="H17" s="270"/>
      <c r="I17" s="270"/>
      <c r="J17" s="271"/>
      <c r="K17" s="272"/>
      <c r="L17" s="271"/>
      <c r="M17" s="271"/>
      <c r="N17" s="273"/>
      <c r="O17" s="277">
        <v>4855971.72</v>
      </c>
      <c r="Q17" s="253"/>
      <c r="R17" s="253"/>
    </row>
    <row r="18" spans="3:18" ht="30.75" customHeight="1" x14ac:dyDescent="0.25">
      <c r="C18" s="275" t="s">
        <v>710</v>
      </c>
      <c r="D18" s="275" t="s">
        <v>711</v>
      </c>
      <c r="E18" s="275" t="s">
        <v>707</v>
      </c>
      <c r="F18" s="275" t="s">
        <v>713</v>
      </c>
      <c r="G18" s="276" t="s">
        <v>717</v>
      </c>
      <c r="H18" s="270"/>
      <c r="I18" s="270"/>
      <c r="J18" s="271"/>
      <c r="K18" s="272"/>
      <c r="L18" s="271"/>
      <c r="M18" s="271"/>
      <c r="N18" s="273"/>
      <c r="O18" s="277">
        <v>3405607.7199999997</v>
      </c>
      <c r="Q18" s="253"/>
      <c r="R18" s="253"/>
    </row>
    <row r="19" spans="3:18" ht="30.75" customHeight="1" x14ac:dyDescent="0.25">
      <c r="C19" s="265" t="s">
        <v>718</v>
      </c>
      <c r="D19" s="265" t="s">
        <v>719</v>
      </c>
      <c r="E19" s="265" t="s">
        <v>720</v>
      </c>
      <c r="F19" s="265" t="s">
        <v>713</v>
      </c>
      <c r="G19" s="266" t="s">
        <v>721</v>
      </c>
      <c r="H19" s="267"/>
      <c r="I19" s="267"/>
      <c r="J19" s="278"/>
      <c r="K19" s="279"/>
      <c r="L19" s="278"/>
      <c r="M19" s="278"/>
      <c r="N19" s="280"/>
      <c r="O19" s="274">
        <f>SUM(O20:O21)</f>
        <v>5489026.5199999996</v>
      </c>
      <c r="Q19" s="253"/>
      <c r="R19" s="253"/>
    </row>
    <row r="20" spans="3:18" x14ac:dyDescent="0.25">
      <c r="C20" s="275" t="s">
        <v>718</v>
      </c>
      <c r="D20" s="275" t="s">
        <v>719</v>
      </c>
      <c r="E20" s="275" t="s">
        <v>720</v>
      </c>
      <c r="F20" s="275" t="s">
        <v>713</v>
      </c>
      <c r="G20" s="276" t="s">
        <v>446</v>
      </c>
      <c r="H20" s="270"/>
      <c r="I20" s="270"/>
      <c r="J20" s="271"/>
      <c r="K20" s="272"/>
      <c r="L20" s="271"/>
      <c r="M20" s="271"/>
      <c r="N20" s="273"/>
      <c r="O20" s="277">
        <v>665026.52</v>
      </c>
      <c r="Q20" s="253"/>
      <c r="R20" s="253"/>
    </row>
    <row r="21" spans="3:18" x14ac:dyDescent="0.25">
      <c r="C21" s="275" t="s">
        <v>718</v>
      </c>
      <c r="D21" s="275" t="s">
        <v>719</v>
      </c>
      <c r="E21" s="275" t="s">
        <v>720</v>
      </c>
      <c r="F21" s="275" t="s">
        <v>713</v>
      </c>
      <c r="G21" s="276" t="s">
        <v>722</v>
      </c>
      <c r="H21" s="270"/>
      <c r="I21" s="270"/>
      <c r="J21" s="271"/>
      <c r="K21" s="272"/>
      <c r="L21" s="271"/>
      <c r="M21" s="271"/>
      <c r="N21" s="273"/>
      <c r="O21" s="277">
        <v>4824000</v>
      </c>
      <c r="Q21" s="253"/>
      <c r="R21" s="253"/>
    </row>
    <row r="22" spans="3:18" ht="30.75" hidden="1" customHeight="1" x14ac:dyDescent="0.25">
      <c r="C22" s="275"/>
      <c r="D22" s="275"/>
      <c r="E22" s="275"/>
      <c r="F22" s="275"/>
      <c r="G22" s="276"/>
      <c r="H22" s="270"/>
      <c r="I22" s="270"/>
      <c r="J22" s="271"/>
      <c r="K22" s="272"/>
      <c r="L22" s="271"/>
      <c r="M22" s="271"/>
      <c r="N22" s="273"/>
      <c r="O22" s="277"/>
      <c r="Q22" s="253"/>
      <c r="R22" s="253"/>
    </row>
    <row r="23" spans="3:18" ht="56.25" hidden="1" customHeight="1" x14ac:dyDescent="0.25">
      <c r="C23" s="281"/>
      <c r="D23" s="281"/>
      <c r="E23" s="281"/>
      <c r="F23" s="281"/>
      <c r="G23" s="266"/>
      <c r="H23" s="270"/>
      <c r="I23" s="270"/>
      <c r="J23" s="271"/>
      <c r="K23" s="272"/>
      <c r="L23" s="271"/>
      <c r="M23" s="271"/>
      <c r="N23" s="273"/>
      <c r="O23" s="282"/>
      <c r="Q23" s="253"/>
      <c r="R23" s="253"/>
    </row>
    <row r="24" spans="3:18" ht="47.25" x14ac:dyDescent="0.25">
      <c r="C24" s="265" t="s">
        <v>718</v>
      </c>
      <c r="D24" s="265" t="s">
        <v>711</v>
      </c>
      <c r="E24" s="265" t="s">
        <v>707</v>
      </c>
      <c r="F24" s="265" t="s">
        <v>723</v>
      </c>
      <c r="G24" s="266" t="s">
        <v>451</v>
      </c>
      <c r="H24" s="267"/>
      <c r="I24" s="267"/>
      <c r="J24" s="278"/>
      <c r="K24" s="279"/>
      <c r="L24" s="278"/>
      <c r="M24" s="278"/>
      <c r="N24" s="280"/>
      <c r="O24" s="274">
        <f>SUM(O25:O27)</f>
        <v>50278521.299999997</v>
      </c>
      <c r="Q24" s="253"/>
    </row>
    <row r="25" spans="3:18" ht="27" customHeight="1" x14ac:dyDescent="0.25">
      <c r="C25" s="283" t="s">
        <v>718</v>
      </c>
      <c r="D25" s="283" t="s">
        <v>711</v>
      </c>
      <c r="E25" s="283" t="s">
        <v>707</v>
      </c>
      <c r="F25" s="283" t="s">
        <v>713</v>
      </c>
      <c r="G25" s="276" t="s">
        <v>724</v>
      </c>
      <c r="H25" s="267"/>
      <c r="I25" s="267"/>
      <c r="J25" s="278"/>
      <c r="K25" s="279"/>
      <c r="L25" s="278"/>
      <c r="M25" s="278"/>
      <c r="N25" s="280"/>
      <c r="O25" s="277">
        <v>412220</v>
      </c>
      <c r="Q25" s="253"/>
    </row>
    <row r="26" spans="3:18" x14ac:dyDescent="0.25">
      <c r="C26" s="283" t="s">
        <v>718</v>
      </c>
      <c r="D26" s="283" t="s">
        <v>711</v>
      </c>
      <c r="E26" s="283" t="s">
        <v>707</v>
      </c>
      <c r="F26" s="283" t="s">
        <v>713</v>
      </c>
      <c r="G26" s="276" t="s">
        <v>725</v>
      </c>
      <c r="H26" s="284"/>
      <c r="I26" s="284"/>
      <c r="J26" s="285"/>
      <c r="K26" s="286"/>
      <c r="L26" s="285"/>
      <c r="M26" s="285"/>
      <c r="O26" s="277">
        <f>38529400+5786.5+11191114.8</f>
        <v>49726301.299999997</v>
      </c>
      <c r="Q26" s="253"/>
    </row>
    <row r="27" spans="3:18" ht="31.5" x14ac:dyDescent="0.25">
      <c r="C27" s="283" t="s">
        <v>718</v>
      </c>
      <c r="D27" s="283" t="s">
        <v>711</v>
      </c>
      <c r="E27" s="283" t="s">
        <v>707</v>
      </c>
      <c r="F27" s="283" t="s">
        <v>713</v>
      </c>
      <c r="G27" s="276" t="s">
        <v>726</v>
      </c>
      <c r="H27" s="267"/>
      <c r="I27" s="267"/>
      <c r="J27" s="278"/>
      <c r="K27" s="279"/>
      <c r="L27" s="278"/>
      <c r="M27" s="278"/>
      <c r="N27" s="280"/>
      <c r="O27" s="277">
        <v>140000</v>
      </c>
      <c r="Q27" s="253"/>
    </row>
    <row r="28" spans="3:18" ht="31.5" hidden="1" x14ac:dyDescent="0.25">
      <c r="C28" s="283" t="s">
        <v>718</v>
      </c>
      <c r="D28" s="283" t="s">
        <v>711</v>
      </c>
      <c r="E28" s="283" t="s">
        <v>707</v>
      </c>
      <c r="F28" s="283" t="s">
        <v>713</v>
      </c>
      <c r="G28" s="276" t="s">
        <v>726</v>
      </c>
      <c r="H28" s="284"/>
      <c r="I28" s="284"/>
      <c r="J28" s="285"/>
      <c r="K28" s="286"/>
      <c r="L28" s="285"/>
      <c r="M28" s="285"/>
      <c r="O28" s="287">
        <v>0</v>
      </c>
      <c r="Q28" s="288"/>
    </row>
    <row r="29" spans="3:18" ht="31.5" x14ac:dyDescent="0.25">
      <c r="C29" s="265" t="s">
        <v>727</v>
      </c>
      <c r="D29" s="265" t="s">
        <v>711</v>
      </c>
      <c r="E29" s="265" t="s">
        <v>707</v>
      </c>
      <c r="F29" s="265" t="s">
        <v>728</v>
      </c>
      <c r="G29" s="266" t="s">
        <v>729</v>
      </c>
      <c r="H29" s="267"/>
      <c r="I29" s="267"/>
      <c r="J29" s="278"/>
      <c r="K29" s="279"/>
      <c r="L29" s="278"/>
      <c r="M29" s="278"/>
      <c r="N29" s="280"/>
      <c r="O29" s="274">
        <v>5518708.7999999998</v>
      </c>
      <c r="Q29" s="288"/>
    </row>
    <row r="30" spans="3:18" ht="31.5" x14ac:dyDescent="0.25">
      <c r="C30" s="265" t="s">
        <v>730</v>
      </c>
      <c r="D30" s="265" t="s">
        <v>711</v>
      </c>
      <c r="E30" s="265" t="s">
        <v>707</v>
      </c>
      <c r="F30" s="265" t="s">
        <v>723</v>
      </c>
      <c r="G30" s="266" t="s">
        <v>484</v>
      </c>
      <c r="H30" s="270"/>
      <c r="I30" s="270"/>
      <c r="J30" s="271"/>
      <c r="K30" s="272"/>
      <c r="L30" s="271"/>
      <c r="M30" s="271"/>
      <c r="N30" s="273"/>
      <c r="O30" s="274">
        <f>SUM(O31:O41)</f>
        <v>3973756.6</v>
      </c>
      <c r="Q30" s="253"/>
    </row>
    <row r="31" spans="3:18" x14ac:dyDescent="0.25">
      <c r="C31" s="275" t="s">
        <v>730</v>
      </c>
      <c r="D31" s="275" t="s">
        <v>711</v>
      </c>
      <c r="E31" s="275" t="s">
        <v>707</v>
      </c>
      <c r="F31" s="275" t="s">
        <v>731</v>
      </c>
      <c r="G31" s="276" t="s">
        <v>732</v>
      </c>
      <c r="H31" s="270"/>
      <c r="I31" s="270"/>
      <c r="J31" s="271"/>
      <c r="K31" s="272"/>
      <c r="L31" s="271"/>
      <c r="M31" s="271"/>
      <c r="N31" s="273"/>
      <c r="O31" s="277">
        <v>1300000</v>
      </c>
    </row>
    <row r="32" spans="3:18" ht="30.75" customHeight="1" x14ac:dyDescent="0.25">
      <c r="C32" s="275" t="s">
        <v>730</v>
      </c>
      <c r="D32" s="275" t="s">
        <v>711</v>
      </c>
      <c r="E32" s="275" t="s">
        <v>707</v>
      </c>
      <c r="F32" s="275" t="s">
        <v>731</v>
      </c>
      <c r="G32" s="276" t="s">
        <v>733</v>
      </c>
      <c r="H32" s="270"/>
      <c r="I32" s="270"/>
      <c r="J32" s="271"/>
      <c r="K32" s="272"/>
      <c r="L32" s="271"/>
      <c r="M32" s="271"/>
      <c r="N32" s="273"/>
      <c r="O32" s="277">
        <f>2220833.14-729076.54</f>
        <v>1491756.6</v>
      </c>
    </row>
    <row r="33" spans="1:23" ht="30.75" customHeight="1" x14ac:dyDescent="0.25">
      <c r="C33" s="275" t="s">
        <v>730</v>
      </c>
      <c r="D33" s="275" t="s">
        <v>711</v>
      </c>
      <c r="E33" s="275" t="s">
        <v>707</v>
      </c>
      <c r="F33" s="275" t="s">
        <v>731</v>
      </c>
      <c r="G33" s="276" t="s">
        <v>734</v>
      </c>
      <c r="H33" s="270"/>
      <c r="I33" s="270"/>
      <c r="J33" s="271"/>
      <c r="K33" s="272"/>
      <c r="L33" s="271"/>
      <c r="M33" s="271"/>
      <c r="N33" s="273"/>
      <c r="O33" s="277">
        <v>200000</v>
      </c>
    </row>
    <row r="34" spans="1:23" ht="31.5" x14ac:dyDescent="0.25">
      <c r="C34" s="275" t="s">
        <v>730</v>
      </c>
      <c r="D34" s="275" t="s">
        <v>711</v>
      </c>
      <c r="E34" s="275" t="s">
        <v>707</v>
      </c>
      <c r="F34" s="275" t="s">
        <v>731</v>
      </c>
      <c r="G34" s="276" t="s">
        <v>492</v>
      </c>
      <c r="H34" s="270"/>
      <c r="I34" s="270"/>
      <c r="J34" s="271"/>
      <c r="K34" s="272"/>
      <c r="L34" s="271"/>
      <c r="M34" s="271"/>
      <c r="N34" s="273"/>
      <c r="O34" s="277">
        <v>40000</v>
      </c>
    </row>
    <row r="35" spans="1:23" x14ac:dyDescent="0.25">
      <c r="C35" s="275" t="s">
        <v>730</v>
      </c>
      <c r="D35" s="275" t="s">
        <v>711</v>
      </c>
      <c r="E35" s="275" t="s">
        <v>707</v>
      </c>
      <c r="F35" s="275" t="s">
        <v>735</v>
      </c>
      <c r="G35" s="276" t="s">
        <v>736</v>
      </c>
      <c r="H35" s="270"/>
      <c r="I35" s="270"/>
      <c r="J35" s="271"/>
      <c r="K35" s="272"/>
      <c r="L35" s="271"/>
      <c r="M35" s="271"/>
      <c r="N35" s="273"/>
      <c r="O35" s="277">
        <v>642000</v>
      </c>
    </row>
    <row r="36" spans="1:23" ht="32.25" customHeight="1" x14ac:dyDescent="0.25">
      <c r="C36" s="275" t="s">
        <v>730</v>
      </c>
      <c r="D36" s="275" t="s">
        <v>711</v>
      </c>
      <c r="E36" s="275" t="s">
        <v>707</v>
      </c>
      <c r="F36" s="275" t="s">
        <v>731</v>
      </c>
      <c r="G36" s="276" t="s">
        <v>492</v>
      </c>
      <c r="H36" s="270"/>
      <c r="I36" s="270"/>
      <c r="J36" s="271"/>
      <c r="K36" s="272"/>
      <c r="L36" s="271"/>
      <c r="M36" s="271"/>
      <c r="N36" s="273"/>
      <c r="O36" s="277">
        <v>200000</v>
      </c>
    </row>
    <row r="37" spans="1:23" ht="31.5" x14ac:dyDescent="0.25">
      <c r="C37" s="275" t="s">
        <v>730</v>
      </c>
      <c r="D37" s="275" t="s">
        <v>711</v>
      </c>
      <c r="E37" s="275" t="s">
        <v>707</v>
      </c>
      <c r="F37" s="275" t="s">
        <v>731</v>
      </c>
      <c r="G37" s="276" t="s">
        <v>494</v>
      </c>
      <c r="H37" s="270"/>
      <c r="I37" s="270"/>
      <c r="J37" s="271"/>
      <c r="K37" s="272"/>
      <c r="L37" s="271"/>
      <c r="M37" s="271"/>
      <c r="N37" s="273"/>
      <c r="O37" s="277">
        <v>100000</v>
      </c>
    </row>
    <row r="38" spans="1:23" ht="47.25" hidden="1" customHeight="1" x14ac:dyDescent="0.25">
      <c r="C38" s="275" t="s">
        <v>730</v>
      </c>
      <c r="D38" s="275" t="s">
        <v>711</v>
      </c>
      <c r="E38" s="275" t="s">
        <v>707</v>
      </c>
      <c r="F38" s="275" t="s">
        <v>731</v>
      </c>
      <c r="G38" s="276"/>
      <c r="H38" s="270"/>
      <c r="I38" s="270"/>
      <c r="J38" s="271"/>
      <c r="K38" s="272"/>
      <c r="L38" s="271"/>
      <c r="M38" s="271"/>
      <c r="N38" s="273"/>
      <c r="O38" s="277"/>
    </row>
    <row r="39" spans="1:23" ht="30.75" hidden="1" customHeight="1" x14ac:dyDescent="0.25">
      <c r="C39" s="275" t="s">
        <v>730</v>
      </c>
      <c r="D39" s="275" t="s">
        <v>711</v>
      </c>
      <c r="E39" s="275" t="s">
        <v>707</v>
      </c>
      <c r="F39" s="275" t="s">
        <v>731</v>
      </c>
      <c r="G39" s="276"/>
      <c r="H39" s="270"/>
      <c r="I39" s="270"/>
      <c r="J39" s="271"/>
      <c r="K39" s="272"/>
      <c r="L39" s="271"/>
      <c r="M39" s="271"/>
      <c r="N39" s="273"/>
      <c r="O39" s="277"/>
    </row>
    <row r="40" spans="1:23" hidden="1" x14ac:dyDescent="0.25">
      <c r="C40" s="275" t="s">
        <v>730</v>
      </c>
      <c r="D40" s="275" t="s">
        <v>711</v>
      </c>
      <c r="E40" s="275" t="s">
        <v>707</v>
      </c>
      <c r="F40" s="275" t="s">
        <v>731</v>
      </c>
      <c r="G40" s="276"/>
      <c r="H40" s="270"/>
      <c r="I40" s="270"/>
      <c r="J40" s="271"/>
      <c r="K40" s="272"/>
      <c r="L40" s="271"/>
      <c r="M40" s="271"/>
      <c r="N40" s="273"/>
      <c r="O40" s="277">
        <v>0</v>
      </c>
    </row>
    <row r="41" spans="1:23" hidden="1" x14ac:dyDescent="0.25">
      <c r="C41" s="275"/>
      <c r="D41" s="275"/>
      <c r="E41" s="275"/>
      <c r="F41" s="275"/>
      <c r="G41" s="276"/>
      <c r="H41" s="270"/>
      <c r="I41" s="270"/>
      <c r="J41" s="271"/>
      <c r="K41" s="272"/>
      <c r="L41" s="271"/>
      <c r="M41" s="271"/>
      <c r="N41" s="273"/>
      <c r="O41" s="277"/>
    </row>
    <row r="42" spans="1:23" ht="30.75" customHeight="1" x14ac:dyDescent="0.25">
      <c r="A42" s="289"/>
      <c r="B42" s="289"/>
      <c r="C42" s="290" t="s">
        <v>737</v>
      </c>
      <c r="D42" s="290" t="s">
        <v>711</v>
      </c>
      <c r="E42" s="290" t="s">
        <v>707</v>
      </c>
      <c r="F42" s="290" t="s">
        <v>731</v>
      </c>
      <c r="G42" s="291" t="s">
        <v>528</v>
      </c>
      <c r="H42" s="292">
        <v>12667630.539999999</v>
      </c>
      <c r="I42" s="292">
        <f>SUM(J42:M42)</f>
        <v>535418.37</v>
      </c>
      <c r="J42" s="293">
        <v>535418.37</v>
      </c>
      <c r="K42" s="293"/>
      <c r="L42" s="293"/>
      <c r="M42" s="293"/>
      <c r="N42" s="280"/>
      <c r="O42" s="294">
        <f>O43+O44</f>
        <v>757140</v>
      </c>
    </row>
    <row r="43" spans="1:23" x14ac:dyDescent="0.25">
      <c r="A43" s="289"/>
      <c r="B43" s="289"/>
      <c r="C43" s="283" t="s">
        <v>737</v>
      </c>
      <c r="D43" s="283" t="s">
        <v>711</v>
      </c>
      <c r="E43" s="283" t="s">
        <v>707</v>
      </c>
      <c r="F43" s="283" t="s">
        <v>731</v>
      </c>
      <c r="G43" s="295" t="s">
        <v>738</v>
      </c>
      <c r="H43" s="267"/>
      <c r="I43" s="267"/>
      <c r="J43" s="278"/>
      <c r="K43" s="278"/>
      <c r="L43" s="278"/>
      <c r="M43" s="278"/>
      <c r="N43" s="267"/>
      <c r="O43" s="287">
        <v>42500</v>
      </c>
    </row>
    <row r="44" spans="1:23" x14ac:dyDescent="0.25">
      <c r="A44" s="289"/>
      <c r="B44" s="289"/>
      <c r="C44" s="283" t="s">
        <v>737</v>
      </c>
      <c r="D44" s="283" t="s">
        <v>711</v>
      </c>
      <c r="E44" s="283" t="s">
        <v>707</v>
      </c>
      <c r="F44" s="283" t="s">
        <v>731</v>
      </c>
      <c r="G44" s="295" t="s">
        <v>686</v>
      </c>
      <c r="H44" s="267"/>
      <c r="I44" s="267"/>
      <c r="J44" s="278"/>
      <c r="K44" s="278"/>
      <c r="L44" s="278"/>
      <c r="M44" s="278"/>
      <c r="N44" s="267"/>
      <c r="O44" s="287">
        <v>714640</v>
      </c>
    </row>
    <row r="45" spans="1:23" ht="30.75" customHeight="1" x14ac:dyDescent="0.25">
      <c r="C45" s="265" t="s">
        <v>739</v>
      </c>
      <c r="D45" s="265" t="s">
        <v>708</v>
      </c>
      <c r="E45" s="265" t="s">
        <v>707</v>
      </c>
      <c r="F45" s="265" t="s">
        <v>712</v>
      </c>
      <c r="G45" s="266" t="s">
        <v>543</v>
      </c>
      <c r="H45" s="267"/>
      <c r="I45" s="278"/>
      <c r="J45" s="278"/>
      <c r="K45" s="278"/>
      <c r="L45" s="278"/>
      <c r="M45" s="278"/>
      <c r="N45" s="267"/>
      <c r="O45" s="274">
        <v>38986340.939999998</v>
      </c>
      <c r="Q45" s="253"/>
      <c r="R45" s="253"/>
      <c r="T45" s="253"/>
      <c r="U45" s="288"/>
      <c r="W45" s="253"/>
    </row>
    <row r="46" spans="1:23" x14ac:dyDescent="0.25">
      <c r="C46" s="283" t="s">
        <v>739</v>
      </c>
      <c r="D46" s="283" t="s">
        <v>711</v>
      </c>
      <c r="E46" s="283" t="s">
        <v>707</v>
      </c>
      <c r="F46" s="283" t="s">
        <v>723</v>
      </c>
      <c r="G46" s="295" t="s">
        <v>740</v>
      </c>
      <c r="H46" s="284"/>
      <c r="I46" s="285"/>
      <c r="J46" s="285"/>
      <c r="K46" s="285"/>
      <c r="L46" s="285"/>
      <c r="M46" s="285"/>
      <c r="N46" s="284"/>
      <c r="O46" s="287">
        <v>1976462.39</v>
      </c>
      <c r="Q46" s="253"/>
      <c r="R46" s="253"/>
      <c r="T46" s="253"/>
      <c r="U46" s="288"/>
      <c r="W46" s="253"/>
    </row>
    <row r="47" spans="1:23" ht="21.75" customHeight="1" x14ac:dyDescent="0.25">
      <c r="C47" s="283" t="s">
        <v>739</v>
      </c>
      <c r="D47" s="283" t="s">
        <v>719</v>
      </c>
      <c r="E47" s="283" t="s">
        <v>707</v>
      </c>
      <c r="F47" s="283" t="s">
        <v>741</v>
      </c>
      <c r="G47" s="295" t="s">
        <v>742</v>
      </c>
      <c r="H47" s="284"/>
      <c r="I47" s="285"/>
      <c r="J47" s="285"/>
      <c r="K47" s="285"/>
      <c r="L47" s="285"/>
      <c r="M47" s="285"/>
      <c r="N47" s="284"/>
      <c r="O47" s="287">
        <v>37009878.549999997</v>
      </c>
      <c r="Q47" s="253"/>
      <c r="R47" s="253"/>
      <c r="T47" s="253"/>
      <c r="U47" s="288"/>
      <c r="W47" s="253"/>
    </row>
    <row r="48" spans="1:23" ht="30.75" customHeight="1" x14ac:dyDescent="0.25">
      <c r="C48" s="265" t="s">
        <v>743</v>
      </c>
      <c r="D48" s="265" t="s">
        <v>708</v>
      </c>
      <c r="E48" s="265" t="s">
        <v>707</v>
      </c>
      <c r="F48" s="265" t="s">
        <v>709</v>
      </c>
      <c r="G48" s="296" t="s">
        <v>593</v>
      </c>
      <c r="H48" s="270"/>
      <c r="I48" s="271"/>
      <c r="J48" s="271"/>
      <c r="K48" s="271"/>
      <c r="L48" s="271"/>
      <c r="M48" s="271"/>
      <c r="N48" s="270"/>
      <c r="O48" s="274">
        <f>SUM(O49:O51)</f>
        <v>36500325.299999997</v>
      </c>
      <c r="S48" s="253"/>
      <c r="U48" s="253"/>
    </row>
    <row r="49" spans="3:21" ht="31.5" x14ac:dyDescent="0.25">
      <c r="C49" s="283" t="s">
        <v>743</v>
      </c>
      <c r="D49" s="283" t="s">
        <v>708</v>
      </c>
      <c r="E49" s="283" t="s">
        <v>707</v>
      </c>
      <c r="F49" s="283" t="s">
        <v>723</v>
      </c>
      <c r="G49" s="297" t="s">
        <v>744</v>
      </c>
      <c r="H49" s="298"/>
      <c r="I49" s="299"/>
      <c r="J49" s="299"/>
      <c r="K49" s="299"/>
      <c r="L49" s="299"/>
      <c r="M49" s="299"/>
      <c r="N49" s="298"/>
      <c r="O49" s="287">
        <v>341884</v>
      </c>
      <c r="S49" s="253"/>
      <c r="U49" s="253"/>
    </row>
    <row r="50" spans="3:21" x14ac:dyDescent="0.25">
      <c r="C50" s="283" t="s">
        <v>743</v>
      </c>
      <c r="D50" s="283" t="s">
        <v>708</v>
      </c>
      <c r="E50" s="283" t="s">
        <v>707</v>
      </c>
      <c r="F50" s="283" t="s">
        <v>731</v>
      </c>
      <c r="G50" s="297" t="s">
        <v>745</v>
      </c>
      <c r="H50" s="298"/>
      <c r="I50" s="299"/>
      <c r="J50" s="299"/>
      <c r="K50" s="299"/>
      <c r="L50" s="299"/>
      <c r="M50" s="299"/>
      <c r="N50" s="298"/>
      <c r="O50" s="287">
        <v>100000</v>
      </c>
      <c r="S50" s="253"/>
      <c r="U50" s="253"/>
    </row>
    <row r="51" spans="3:21" ht="15.75" customHeight="1" x14ac:dyDescent="0.25">
      <c r="C51" s="283" t="s">
        <v>743</v>
      </c>
      <c r="D51" s="283" t="s">
        <v>719</v>
      </c>
      <c r="E51" s="283" t="s">
        <v>707</v>
      </c>
      <c r="F51" s="283" t="s">
        <v>746</v>
      </c>
      <c r="G51" s="297" t="s">
        <v>742</v>
      </c>
      <c r="H51" s="298"/>
      <c r="I51" s="299"/>
      <c r="J51" s="299"/>
      <c r="K51" s="299"/>
      <c r="L51" s="299"/>
      <c r="M51" s="299"/>
      <c r="N51" s="298"/>
      <c r="O51" s="287">
        <v>36058441.299999997</v>
      </c>
      <c r="S51" s="253"/>
      <c r="U51" s="253"/>
    </row>
    <row r="52" spans="3:21" ht="31.5" customHeight="1" x14ac:dyDescent="0.25">
      <c r="C52" s="265" t="s">
        <v>747</v>
      </c>
      <c r="D52" s="265" t="s">
        <v>719</v>
      </c>
      <c r="E52" s="265" t="s">
        <v>707</v>
      </c>
      <c r="F52" s="265" t="s">
        <v>709</v>
      </c>
      <c r="G52" s="296" t="s">
        <v>568</v>
      </c>
      <c r="H52" s="300"/>
      <c r="I52" s="285"/>
      <c r="J52" s="285"/>
      <c r="K52" s="285"/>
      <c r="L52" s="285"/>
      <c r="M52" s="285"/>
      <c r="N52" s="284"/>
      <c r="O52" s="274">
        <f>SUM(O53:O62)</f>
        <v>4227370</v>
      </c>
    </row>
    <row r="53" spans="3:21" ht="48" customHeight="1" x14ac:dyDescent="0.25">
      <c r="C53" s="275" t="s">
        <v>747</v>
      </c>
      <c r="D53" s="275" t="s">
        <v>711</v>
      </c>
      <c r="E53" s="275" t="s">
        <v>707</v>
      </c>
      <c r="F53" s="275" t="s">
        <v>748</v>
      </c>
      <c r="G53" s="276" t="s">
        <v>573</v>
      </c>
      <c r="H53" s="300"/>
      <c r="I53" s="285"/>
      <c r="J53" s="285"/>
      <c r="K53" s="285"/>
      <c r="L53" s="285"/>
      <c r="M53" s="285"/>
      <c r="N53" s="284"/>
      <c r="O53" s="277">
        <v>185600</v>
      </c>
    </row>
    <row r="54" spans="3:21" ht="45" customHeight="1" x14ac:dyDescent="0.25">
      <c r="C54" s="275" t="s">
        <v>747</v>
      </c>
      <c r="D54" s="275" t="s">
        <v>711</v>
      </c>
      <c r="E54" s="275" t="s">
        <v>707</v>
      </c>
      <c r="F54" s="275" t="s">
        <v>749</v>
      </c>
      <c r="G54" s="276" t="s">
        <v>750</v>
      </c>
      <c r="H54" s="300"/>
      <c r="I54" s="285"/>
      <c r="J54" s="285"/>
      <c r="K54" s="285"/>
      <c r="L54" s="285"/>
      <c r="M54" s="285"/>
      <c r="N54" s="284"/>
      <c r="O54" s="277">
        <v>104400</v>
      </c>
    </row>
    <row r="55" spans="3:21" s="264" customFormat="1" ht="15.75" customHeight="1" x14ac:dyDescent="0.25">
      <c r="C55" s="275" t="s">
        <v>747</v>
      </c>
      <c r="D55" s="275" t="s">
        <v>719</v>
      </c>
      <c r="E55" s="275" t="s">
        <v>707</v>
      </c>
      <c r="F55" s="275" t="s">
        <v>723</v>
      </c>
      <c r="G55" s="276" t="s">
        <v>576</v>
      </c>
      <c r="H55" s="301"/>
      <c r="I55" s="301"/>
      <c r="J55" s="301"/>
      <c r="K55" s="301"/>
      <c r="L55" s="301"/>
      <c r="M55" s="301"/>
      <c r="N55" s="301"/>
      <c r="O55" s="277">
        <v>170600</v>
      </c>
    </row>
    <row r="56" spans="3:21" s="264" customFormat="1" x14ac:dyDescent="0.25">
      <c r="C56" s="275" t="s">
        <v>747</v>
      </c>
      <c r="D56" s="275" t="s">
        <v>719</v>
      </c>
      <c r="E56" s="275" t="s">
        <v>707</v>
      </c>
      <c r="F56" s="275" t="s">
        <v>723</v>
      </c>
      <c r="G56" s="276" t="s">
        <v>577</v>
      </c>
      <c r="H56" s="302"/>
      <c r="I56" s="278"/>
      <c r="J56" s="278"/>
      <c r="K56" s="278"/>
      <c r="L56" s="278"/>
      <c r="M56" s="278"/>
      <c r="N56" s="267"/>
      <c r="O56" s="277">
        <v>135000</v>
      </c>
    </row>
    <row r="57" spans="3:21" hidden="1" x14ac:dyDescent="0.25">
      <c r="C57" s="275" t="s">
        <v>747</v>
      </c>
      <c r="D57" s="275" t="s">
        <v>719</v>
      </c>
      <c r="E57" s="275" t="s">
        <v>707</v>
      </c>
      <c r="F57" s="275" t="s">
        <v>723</v>
      </c>
      <c r="G57" s="276" t="s">
        <v>579</v>
      </c>
      <c r="H57" s="303"/>
      <c r="I57" s="285"/>
      <c r="J57" s="285"/>
      <c r="K57" s="285"/>
      <c r="L57" s="285"/>
      <c r="M57" s="285"/>
      <c r="N57" s="284"/>
      <c r="O57" s="277">
        <v>0</v>
      </c>
    </row>
    <row r="58" spans="3:21" x14ac:dyDescent="0.25">
      <c r="C58" s="275" t="s">
        <v>747</v>
      </c>
      <c r="D58" s="275" t="s">
        <v>719</v>
      </c>
      <c r="E58" s="275" t="s">
        <v>707</v>
      </c>
      <c r="F58" s="275" t="s">
        <v>723</v>
      </c>
      <c r="G58" s="276" t="s">
        <v>580</v>
      </c>
      <c r="H58" s="303"/>
      <c r="I58" s="285"/>
      <c r="J58" s="285"/>
      <c r="K58" s="285"/>
      <c r="L58" s="285"/>
      <c r="M58" s="285"/>
      <c r="N58" s="284"/>
      <c r="O58" s="277">
        <v>19000</v>
      </c>
    </row>
    <row r="59" spans="3:21" ht="31.5" x14ac:dyDescent="0.25">
      <c r="C59" s="275" t="s">
        <v>747</v>
      </c>
      <c r="D59" s="275" t="s">
        <v>719</v>
      </c>
      <c r="E59" s="275" t="s">
        <v>707</v>
      </c>
      <c r="F59" s="275" t="s">
        <v>723</v>
      </c>
      <c r="G59" s="276" t="s">
        <v>688</v>
      </c>
      <c r="H59" s="300"/>
      <c r="I59" s="285"/>
      <c r="J59" s="285"/>
      <c r="K59" s="285"/>
      <c r="L59" s="285"/>
      <c r="M59" s="285"/>
      <c r="N59" s="284"/>
      <c r="O59" s="277">
        <v>3000000</v>
      </c>
    </row>
    <row r="60" spans="3:21" ht="25.5" customHeight="1" x14ac:dyDescent="0.25">
      <c r="C60" s="275" t="s">
        <v>747</v>
      </c>
      <c r="D60" s="275" t="s">
        <v>719</v>
      </c>
      <c r="E60" s="275" t="s">
        <v>707</v>
      </c>
      <c r="F60" s="275" t="s">
        <v>723</v>
      </c>
      <c r="G60" s="276" t="s">
        <v>751</v>
      </c>
      <c r="H60" s="300"/>
      <c r="I60" s="285"/>
      <c r="J60" s="285"/>
      <c r="K60" s="285"/>
      <c r="L60" s="285"/>
      <c r="M60" s="285"/>
      <c r="N60" s="284"/>
      <c r="O60" s="277">
        <v>31770</v>
      </c>
    </row>
    <row r="61" spans="3:21" ht="31.5" x14ac:dyDescent="0.25">
      <c r="C61" s="275" t="s">
        <v>737</v>
      </c>
      <c r="D61" s="275" t="s">
        <v>711</v>
      </c>
      <c r="E61" s="275" t="s">
        <v>707</v>
      </c>
      <c r="F61" s="275" t="s">
        <v>752</v>
      </c>
      <c r="G61" s="276" t="s">
        <v>753</v>
      </c>
      <c r="H61" s="300"/>
      <c r="I61" s="285"/>
      <c r="J61" s="285"/>
      <c r="K61" s="285"/>
      <c r="L61" s="285"/>
      <c r="M61" s="285"/>
      <c r="N61" s="284"/>
      <c r="O61" s="277">
        <v>267000</v>
      </c>
    </row>
    <row r="62" spans="3:21" ht="31.5" x14ac:dyDescent="0.25">
      <c r="C62" s="275" t="s">
        <v>737</v>
      </c>
      <c r="D62" s="275" t="s">
        <v>711</v>
      </c>
      <c r="E62" s="275" t="s">
        <v>707</v>
      </c>
      <c r="F62" s="275" t="s">
        <v>754</v>
      </c>
      <c r="G62" s="276" t="s">
        <v>753</v>
      </c>
      <c r="H62" s="300"/>
      <c r="I62" s="285"/>
      <c r="J62" s="285"/>
      <c r="K62" s="285"/>
      <c r="L62" s="285"/>
      <c r="M62" s="285"/>
      <c r="N62" s="284"/>
      <c r="O62" s="277">
        <v>314000</v>
      </c>
    </row>
    <row r="63" spans="3:21" ht="31.5" x14ac:dyDescent="0.25">
      <c r="C63" s="281" t="s">
        <v>747</v>
      </c>
      <c r="D63" s="281" t="s">
        <v>711</v>
      </c>
      <c r="E63" s="281" t="s">
        <v>707</v>
      </c>
      <c r="F63" s="281" t="s">
        <v>755</v>
      </c>
      <c r="G63" s="266" t="s">
        <v>588</v>
      </c>
      <c r="H63" s="270"/>
      <c r="I63" s="270"/>
      <c r="J63" s="271"/>
      <c r="K63" s="272"/>
      <c r="L63" s="271"/>
      <c r="M63" s="271"/>
      <c r="N63" s="270"/>
      <c r="O63" s="282">
        <v>139500</v>
      </c>
    </row>
    <row r="64" spans="3:21" x14ac:dyDescent="0.25">
      <c r="C64" s="304"/>
      <c r="D64" s="304"/>
      <c r="E64" s="304"/>
      <c r="F64" s="304"/>
      <c r="G64" s="305"/>
      <c r="H64" s="300"/>
      <c r="I64" s="285"/>
      <c r="J64" s="285"/>
      <c r="K64" s="285"/>
      <c r="L64" s="285"/>
      <c r="M64" s="285"/>
      <c r="N64" s="284"/>
      <c r="O64" s="305"/>
    </row>
  </sheetData>
  <mergeCells count="2">
    <mergeCell ref="C4:O4"/>
    <mergeCell ref="C7:F7"/>
  </mergeCells>
  <pageMargins left="0.7" right="0.7" top="0.75" bottom="0.75" header="0.3" footer="0.3"/>
  <pageSetup paperSize="9" scale="49" fitToWidth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"/>
  <sheetViews>
    <sheetView topLeftCell="C62" workbookViewId="0">
      <selection activeCell="C1" sqref="C1:I90"/>
    </sheetView>
  </sheetViews>
  <sheetFormatPr defaultRowHeight="15.75" x14ac:dyDescent="0.25"/>
  <cols>
    <col min="1" max="1" width="3.83203125" style="307" hidden="1" customWidth="1"/>
    <col min="2" max="2" width="10.6640625" style="307" hidden="1" customWidth="1"/>
    <col min="3" max="3" width="7.83203125" style="306" customWidth="1"/>
    <col min="4" max="4" width="5" style="306" customWidth="1"/>
    <col min="5" max="5" width="6.5" style="306" customWidth="1"/>
    <col min="6" max="6" width="8.6640625" style="306" customWidth="1"/>
    <col min="7" max="7" width="99.6640625" style="307" customWidth="1"/>
    <col min="8" max="8" width="23.1640625" style="317" customWidth="1"/>
    <col min="9" max="14" width="23.1640625" style="307" customWidth="1"/>
    <col min="15" max="256" width="9.33203125" style="307"/>
    <col min="257" max="258" width="0" style="307" hidden="1" customWidth="1"/>
    <col min="259" max="259" width="7.83203125" style="307" customWidth="1"/>
    <col min="260" max="260" width="5" style="307" customWidth="1"/>
    <col min="261" max="261" width="6.5" style="307" customWidth="1"/>
    <col min="262" max="262" width="8.6640625" style="307" customWidth="1"/>
    <col min="263" max="263" width="99.6640625" style="307" customWidth="1"/>
    <col min="264" max="270" width="23.1640625" style="307" customWidth="1"/>
    <col min="271" max="512" width="9.33203125" style="307"/>
    <col min="513" max="514" width="0" style="307" hidden="1" customWidth="1"/>
    <col min="515" max="515" width="7.83203125" style="307" customWidth="1"/>
    <col min="516" max="516" width="5" style="307" customWidth="1"/>
    <col min="517" max="517" width="6.5" style="307" customWidth="1"/>
    <col min="518" max="518" width="8.6640625" style="307" customWidth="1"/>
    <col min="519" max="519" width="99.6640625" style="307" customWidth="1"/>
    <col min="520" max="526" width="23.1640625" style="307" customWidth="1"/>
    <col min="527" max="768" width="9.33203125" style="307"/>
    <col min="769" max="770" width="0" style="307" hidden="1" customWidth="1"/>
    <col min="771" max="771" width="7.83203125" style="307" customWidth="1"/>
    <col min="772" max="772" width="5" style="307" customWidth="1"/>
    <col min="773" max="773" width="6.5" style="307" customWidth="1"/>
    <col min="774" max="774" width="8.6640625" style="307" customWidth="1"/>
    <col min="775" max="775" width="99.6640625" style="307" customWidth="1"/>
    <col min="776" max="782" width="23.1640625" style="307" customWidth="1"/>
    <col min="783" max="1024" width="9.33203125" style="307"/>
    <col min="1025" max="1026" width="0" style="307" hidden="1" customWidth="1"/>
    <col min="1027" max="1027" width="7.83203125" style="307" customWidth="1"/>
    <col min="1028" max="1028" width="5" style="307" customWidth="1"/>
    <col min="1029" max="1029" width="6.5" style="307" customWidth="1"/>
    <col min="1030" max="1030" width="8.6640625" style="307" customWidth="1"/>
    <col min="1031" max="1031" width="99.6640625" style="307" customWidth="1"/>
    <col min="1032" max="1038" width="23.1640625" style="307" customWidth="1"/>
    <col min="1039" max="1280" width="9.33203125" style="307"/>
    <col min="1281" max="1282" width="0" style="307" hidden="1" customWidth="1"/>
    <col min="1283" max="1283" width="7.83203125" style="307" customWidth="1"/>
    <col min="1284" max="1284" width="5" style="307" customWidth="1"/>
    <col min="1285" max="1285" width="6.5" style="307" customWidth="1"/>
    <col min="1286" max="1286" width="8.6640625" style="307" customWidth="1"/>
    <col min="1287" max="1287" width="99.6640625" style="307" customWidth="1"/>
    <col min="1288" max="1294" width="23.1640625" style="307" customWidth="1"/>
    <col min="1295" max="1536" width="9.33203125" style="307"/>
    <col min="1537" max="1538" width="0" style="307" hidden="1" customWidth="1"/>
    <col min="1539" max="1539" width="7.83203125" style="307" customWidth="1"/>
    <col min="1540" max="1540" width="5" style="307" customWidth="1"/>
    <col min="1541" max="1541" width="6.5" style="307" customWidth="1"/>
    <col min="1542" max="1542" width="8.6640625" style="307" customWidth="1"/>
    <col min="1543" max="1543" width="99.6640625" style="307" customWidth="1"/>
    <col min="1544" max="1550" width="23.1640625" style="307" customWidth="1"/>
    <col min="1551" max="1792" width="9.33203125" style="307"/>
    <col min="1793" max="1794" width="0" style="307" hidden="1" customWidth="1"/>
    <col min="1795" max="1795" width="7.83203125" style="307" customWidth="1"/>
    <col min="1796" max="1796" width="5" style="307" customWidth="1"/>
    <col min="1797" max="1797" width="6.5" style="307" customWidth="1"/>
    <col min="1798" max="1798" width="8.6640625" style="307" customWidth="1"/>
    <col min="1799" max="1799" width="99.6640625" style="307" customWidth="1"/>
    <col min="1800" max="1806" width="23.1640625" style="307" customWidth="1"/>
    <col min="1807" max="2048" width="9.33203125" style="307"/>
    <col min="2049" max="2050" width="0" style="307" hidden="1" customWidth="1"/>
    <col min="2051" max="2051" width="7.83203125" style="307" customWidth="1"/>
    <col min="2052" max="2052" width="5" style="307" customWidth="1"/>
    <col min="2053" max="2053" width="6.5" style="307" customWidth="1"/>
    <col min="2054" max="2054" width="8.6640625" style="307" customWidth="1"/>
    <col min="2055" max="2055" width="99.6640625" style="307" customWidth="1"/>
    <col min="2056" max="2062" width="23.1640625" style="307" customWidth="1"/>
    <col min="2063" max="2304" width="9.33203125" style="307"/>
    <col min="2305" max="2306" width="0" style="307" hidden="1" customWidth="1"/>
    <col min="2307" max="2307" width="7.83203125" style="307" customWidth="1"/>
    <col min="2308" max="2308" width="5" style="307" customWidth="1"/>
    <col min="2309" max="2309" width="6.5" style="307" customWidth="1"/>
    <col min="2310" max="2310" width="8.6640625" style="307" customWidth="1"/>
    <col min="2311" max="2311" width="99.6640625" style="307" customWidth="1"/>
    <col min="2312" max="2318" width="23.1640625" style="307" customWidth="1"/>
    <col min="2319" max="2560" width="9.33203125" style="307"/>
    <col min="2561" max="2562" width="0" style="307" hidden="1" customWidth="1"/>
    <col min="2563" max="2563" width="7.83203125" style="307" customWidth="1"/>
    <col min="2564" max="2564" width="5" style="307" customWidth="1"/>
    <col min="2565" max="2565" width="6.5" style="307" customWidth="1"/>
    <col min="2566" max="2566" width="8.6640625" style="307" customWidth="1"/>
    <col min="2567" max="2567" width="99.6640625" style="307" customWidth="1"/>
    <col min="2568" max="2574" width="23.1640625" style="307" customWidth="1"/>
    <col min="2575" max="2816" width="9.33203125" style="307"/>
    <col min="2817" max="2818" width="0" style="307" hidden="1" customWidth="1"/>
    <col min="2819" max="2819" width="7.83203125" style="307" customWidth="1"/>
    <col min="2820" max="2820" width="5" style="307" customWidth="1"/>
    <col min="2821" max="2821" width="6.5" style="307" customWidth="1"/>
    <col min="2822" max="2822" width="8.6640625" style="307" customWidth="1"/>
    <col min="2823" max="2823" width="99.6640625" style="307" customWidth="1"/>
    <col min="2824" max="2830" width="23.1640625" style="307" customWidth="1"/>
    <col min="2831" max="3072" width="9.33203125" style="307"/>
    <col min="3073" max="3074" width="0" style="307" hidden="1" customWidth="1"/>
    <col min="3075" max="3075" width="7.83203125" style="307" customWidth="1"/>
    <col min="3076" max="3076" width="5" style="307" customWidth="1"/>
    <col min="3077" max="3077" width="6.5" style="307" customWidth="1"/>
    <col min="3078" max="3078" width="8.6640625" style="307" customWidth="1"/>
    <col min="3079" max="3079" width="99.6640625" style="307" customWidth="1"/>
    <col min="3080" max="3086" width="23.1640625" style="307" customWidth="1"/>
    <col min="3087" max="3328" width="9.33203125" style="307"/>
    <col min="3329" max="3330" width="0" style="307" hidden="1" customWidth="1"/>
    <col min="3331" max="3331" width="7.83203125" style="307" customWidth="1"/>
    <col min="3332" max="3332" width="5" style="307" customWidth="1"/>
    <col min="3333" max="3333" width="6.5" style="307" customWidth="1"/>
    <col min="3334" max="3334" width="8.6640625" style="307" customWidth="1"/>
    <col min="3335" max="3335" width="99.6640625" style="307" customWidth="1"/>
    <col min="3336" max="3342" width="23.1640625" style="307" customWidth="1"/>
    <col min="3343" max="3584" width="9.33203125" style="307"/>
    <col min="3585" max="3586" width="0" style="307" hidden="1" customWidth="1"/>
    <col min="3587" max="3587" width="7.83203125" style="307" customWidth="1"/>
    <col min="3588" max="3588" width="5" style="307" customWidth="1"/>
    <col min="3589" max="3589" width="6.5" style="307" customWidth="1"/>
    <col min="3590" max="3590" width="8.6640625" style="307" customWidth="1"/>
    <col min="3591" max="3591" width="99.6640625" style="307" customWidth="1"/>
    <col min="3592" max="3598" width="23.1640625" style="307" customWidth="1"/>
    <col min="3599" max="3840" width="9.33203125" style="307"/>
    <col min="3841" max="3842" width="0" style="307" hidden="1" customWidth="1"/>
    <col min="3843" max="3843" width="7.83203125" style="307" customWidth="1"/>
    <col min="3844" max="3844" width="5" style="307" customWidth="1"/>
    <col min="3845" max="3845" width="6.5" style="307" customWidth="1"/>
    <col min="3846" max="3846" width="8.6640625" style="307" customWidth="1"/>
    <col min="3847" max="3847" width="99.6640625" style="307" customWidth="1"/>
    <col min="3848" max="3854" width="23.1640625" style="307" customWidth="1"/>
    <col min="3855" max="4096" width="9.33203125" style="307"/>
    <col min="4097" max="4098" width="0" style="307" hidden="1" customWidth="1"/>
    <col min="4099" max="4099" width="7.83203125" style="307" customWidth="1"/>
    <col min="4100" max="4100" width="5" style="307" customWidth="1"/>
    <col min="4101" max="4101" width="6.5" style="307" customWidth="1"/>
    <col min="4102" max="4102" width="8.6640625" style="307" customWidth="1"/>
    <col min="4103" max="4103" width="99.6640625" style="307" customWidth="1"/>
    <col min="4104" max="4110" width="23.1640625" style="307" customWidth="1"/>
    <col min="4111" max="4352" width="9.33203125" style="307"/>
    <col min="4353" max="4354" width="0" style="307" hidden="1" customWidth="1"/>
    <col min="4355" max="4355" width="7.83203125" style="307" customWidth="1"/>
    <col min="4356" max="4356" width="5" style="307" customWidth="1"/>
    <col min="4357" max="4357" width="6.5" style="307" customWidth="1"/>
    <col min="4358" max="4358" width="8.6640625" style="307" customWidth="1"/>
    <col min="4359" max="4359" width="99.6640625" style="307" customWidth="1"/>
    <col min="4360" max="4366" width="23.1640625" style="307" customWidth="1"/>
    <col min="4367" max="4608" width="9.33203125" style="307"/>
    <col min="4609" max="4610" width="0" style="307" hidden="1" customWidth="1"/>
    <col min="4611" max="4611" width="7.83203125" style="307" customWidth="1"/>
    <col min="4612" max="4612" width="5" style="307" customWidth="1"/>
    <col min="4613" max="4613" width="6.5" style="307" customWidth="1"/>
    <col min="4614" max="4614" width="8.6640625" style="307" customWidth="1"/>
    <col min="4615" max="4615" width="99.6640625" style="307" customWidth="1"/>
    <col min="4616" max="4622" width="23.1640625" style="307" customWidth="1"/>
    <col min="4623" max="4864" width="9.33203125" style="307"/>
    <col min="4865" max="4866" width="0" style="307" hidden="1" customWidth="1"/>
    <col min="4867" max="4867" width="7.83203125" style="307" customWidth="1"/>
    <col min="4868" max="4868" width="5" style="307" customWidth="1"/>
    <col min="4869" max="4869" width="6.5" style="307" customWidth="1"/>
    <col min="4870" max="4870" width="8.6640625" style="307" customWidth="1"/>
    <col min="4871" max="4871" width="99.6640625" style="307" customWidth="1"/>
    <col min="4872" max="4878" width="23.1640625" style="307" customWidth="1"/>
    <col min="4879" max="5120" width="9.33203125" style="307"/>
    <col min="5121" max="5122" width="0" style="307" hidden="1" customWidth="1"/>
    <col min="5123" max="5123" width="7.83203125" style="307" customWidth="1"/>
    <col min="5124" max="5124" width="5" style="307" customWidth="1"/>
    <col min="5125" max="5125" width="6.5" style="307" customWidth="1"/>
    <col min="5126" max="5126" width="8.6640625" style="307" customWidth="1"/>
    <col min="5127" max="5127" width="99.6640625" style="307" customWidth="1"/>
    <col min="5128" max="5134" width="23.1640625" style="307" customWidth="1"/>
    <col min="5135" max="5376" width="9.33203125" style="307"/>
    <col min="5377" max="5378" width="0" style="307" hidden="1" customWidth="1"/>
    <col min="5379" max="5379" width="7.83203125" style="307" customWidth="1"/>
    <col min="5380" max="5380" width="5" style="307" customWidth="1"/>
    <col min="5381" max="5381" width="6.5" style="307" customWidth="1"/>
    <col min="5382" max="5382" width="8.6640625" style="307" customWidth="1"/>
    <col min="5383" max="5383" width="99.6640625" style="307" customWidth="1"/>
    <col min="5384" max="5390" width="23.1640625" style="307" customWidth="1"/>
    <col min="5391" max="5632" width="9.33203125" style="307"/>
    <col min="5633" max="5634" width="0" style="307" hidden="1" customWidth="1"/>
    <col min="5635" max="5635" width="7.83203125" style="307" customWidth="1"/>
    <col min="5636" max="5636" width="5" style="307" customWidth="1"/>
    <col min="5637" max="5637" width="6.5" style="307" customWidth="1"/>
    <col min="5638" max="5638" width="8.6640625" style="307" customWidth="1"/>
    <col min="5639" max="5639" width="99.6640625" style="307" customWidth="1"/>
    <col min="5640" max="5646" width="23.1640625" style="307" customWidth="1"/>
    <col min="5647" max="5888" width="9.33203125" style="307"/>
    <col min="5889" max="5890" width="0" style="307" hidden="1" customWidth="1"/>
    <col min="5891" max="5891" width="7.83203125" style="307" customWidth="1"/>
    <col min="5892" max="5892" width="5" style="307" customWidth="1"/>
    <col min="5893" max="5893" width="6.5" style="307" customWidth="1"/>
    <col min="5894" max="5894" width="8.6640625" style="307" customWidth="1"/>
    <col min="5895" max="5895" width="99.6640625" style="307" customWidth="1"/>
    <col min="5896" max="5902" width="23.1640625" style="307" customWidth="1"/>
    <col min="5903" max="6144" width="9.33203125" style="307"/>
    <col min="6145" max="6146" width="0" style="307" hidden="1" customWidth="1"/>
    <col min="6147" max="6147" width="7.83203125" style="307" customWidth="1"/>
    <col min="6148" max="6148" width="5" style="307" customWidth="1"/>
    <col min="6149" max="6149" width="6.5" style="307" customWidth="1"/>
    <col min="6150" max="6150" width="8.6640625" style="307" customWidth="1"/>
    <col min="6151" max="6151" width="99.6640625" style="307" customWidth="1"/>
    <col min="6152" max="6158" width="23.1640625" style="307" customWidth="1"/>
    <col min="6159" max="6400" width="9.33203125" style="307"/>
    <col min="6401" max="6402" width="0" style="307" hidden="1" customWidth="1"/>
    <col min="6403" max="6403" width="7.83203125" style="307" customWidth="1"/>
    <col min="6404" max="6404" width="5" style="307" customWidth="1"/>
    <col min="6405" max="6405" width="6.5" style="307" customWidth="1"/>
    <col min="6406" max="6406" width="8.6640625" style="307" customWidth="1"/>
    <col min="6407" max="6407" width="99.6640625" style="307" customWidth="1"/>
    <col min="6408" max="6414" width="23.1640625" style="307" customWidth="1"/>
    <col min="6415" max="6656" width="9.33203125" style="307"/>
    <col min="6657" max="6658" width="0" style="307" hidden="1" customWidth="1"/>
    <col min="6659" max="6659" width="7.83203125" style="307" customWidth="1"/>
    <col min="6660" max="6660" width="5" style="307" customWidth="1"/>
    <col min="6661" max="6661" width="6.5" style="307" customWidth="1"/>
    <col min="6662" max="6662" width="8.6640625" style="307" customWidth="1"/>
    <col min="6663" max="6663" width="99.6640625" style="307" customWidth="1"/>
    <col min="6664" max="6670" width="23.1640625" style="307" customWidth="1"/>
    <col min="6671" max="6912" width="9.33203125" style="307"/>
    <col min="6913" max="6914" width="0" style="307" hidden="1" customWidth="1"/>
    <col min="6915" max="6915" width="7.83203125" style="307" customWidth="1"/>
    <col min="6916" max="6916" width="5" style="307" customWidth="1"/>
    <col min="6917" max="6917" width="6.5" style="307" customWidth="1"/>
    <col min="6918" max="6918" width="8.6640625" style="307" customWidth="1"/>
    <col min="6919" max="6919" width="99.6640625" style="307" customWidth="1"/>
    <col min="6920" max="6926" width="23.1640625" style="307" customWidth="1"/>
    <col min="6927" max="7168" width="9.33203125" style="307"/>
    <col min="7169" max="7170" width="0" style="307" hidden="1" customWidth="1"/>
    <col min="7171" max="7171" width="7.83203125" style="307" customWidth="1"/>
    <col min="7172" max="7172" width="5" style="307" customWidth="1"/>
    <col min="7173" max="7173" width="6.5" style="307" customWidth="1"/>
    <col min="7174" max="7174" width="8.6640625" style="307" customWidth="1"/>
    <col min="7175" max="7175" width="99.6640625" style="307" customWidth="1"/>
    <col min="7176" max="7182" width="23.1640625" style="307" customWidth="1"/>
    <col min="7183" max="7424" width="9.33203125" style="307"/>
    <col min="7425" max="7426" width="0" style="307" hidden="1" customWidth="1"/>
    <col min="7427" max="7427" width="7.83203125" style="307" customWidth="1"/>
    <col min="7428" max="7428" width="5" style="307" customWidth="1"/>
    <col min="7429" max="7429" width="6.5" style="307" customWidth="1"/>
    <col min="7430" max="7430" width="8.6640625" style="307" customWidth="1"/>
    <col min="7431" max="7431" width="99.6640625" style="307" customWidth="1"/>
    <col min="7432" max="7438" width="23.1640625" style="307" customWidth="1"/>
    <col min="7439" max="7680" width="9.33203125" style="307"/>
    <col min="7681" max="7682" width="0" style="307" hidden="1" customWidth="1"/>
    <col min="7683" max="7683" width="7.83203125" style="307" customWidth="1"/>
    <col min="7684" max="7684" width="5" style="307" customWidth="1"/>
    <col min="7685" max="7685" width="6.5" style="307" customWidth="1"/>
    <col min="7686" max="7686" width="8.6640625" style="307" customWidth="1"/>
    <col min="7687" max="7687" width="99.6640625" style="307" customWidth="1"/>
    <col min="7688" max="7694" width="23.1640625" style="307" customWidth="1"/>
    <col min="7695" max="7936" width="9.33203125" style="307"/>
    <col min="7937" max="7938" width="0" style="307" hidden="1" customWidth="1"/>
    <col min="7939" max="7939" width="7.83203125" style="307" customWidth="1"/>
    <col min="7940" max="7940" width="5" style="307" customWidth="1"/>
    <col min="7941" max="7941" width="6.5" style="307" customWidth="1"/>
    <col min="7942" max="7942" width="8.6640625" style="307" customWidth="1"/>
    <col min="7943" max="7943" width="99.6640625" style="307" customWidth="1"/>
    <col min="7944" max="7950" width="23.1640625" style="307" customWidth="1"/>
    <col min="7951" max="8192" width="9.33203125" style="307"/>
    <col min="8193" max="8194" width="0" style="307" hidden="1" customWidth="1"/>
    <col min="8195" max="8195" width="7.83203125" style="307" customWidth="1"/>
    <col min="8196" max="8196" width="5" style="307" customWidth="1"/>
    <col min="8197" max="8197" width="6.5" style="307" customWidth="1"/>
    <col min="8198" max="8198" width="8.6640625" style="307" customWidth="1"/>
    <col min="8199" max="8199" width="99.6640625" style="307" customWidth="1"/>
    <col min="8200" max="8206" width="23.1640625" style="307" customWidth="1"/>
    <col min="8207" max="8448" width="9.33203125" style="307"/>
    <col min="8449" max="8450" width="0" style="307" hidden="1" customWidth="1"/>
    <col min="8451" max="8451" width="7.83203125" style="307" customWidth="1"/>
    <col min="8452" max="8452" width="5" style="307" customWidth="1"/>
    <col min="8453" max="8453" width="6.5" style="307" customWidth="1"/>
    <col min="8454" max="8454" width="8.6640625" style="307" customWidth="1"/>
    <col min="8455" max="8455" width="99.6640625" style="307" customWidth="1"/>
    <col min="8456" max="8462" width="23.1640625" style="307" customWidth="1"/>
    <col min="8463" max="8704" width="9.33203125" style="307"/>
    <col min="8705" max="8706" width="0" style="307" hidden="1" customWidth="1"/>
    <col min="8707" max="8707" width="7.83203125" style="307" customWidth="1"/>
    <col min="8708" max="8708" width="5" style="307" customWidth="1"/>
    <col min="8709" max="8709" width="6.5" style="307" customWidth="1"/>
    <col min="8710" max="8710" width="8.6640625" style="307" customWidth="1"/>
    <col min="8711" max="8711" width="99.6640625" style="307" customWidth="1"/>
    <col min="8712" max="8718" width="23.1640625" style="307" customWidth="1"/>
    <col min="8719" max="8960" width="9.33203125" style="307"/>
    <col min="8961" max="8962" width="0" style="307" hidden="1" customWidth="1"/>
    <col min="8963" max="8963" width="7.83203125" style="307" customWidth="1"/>
    <col min="8964" max="8964" width="5" style="307" customWidth="1"/>
    <col min="8965" max="8965" width="6.5" style="307" customWidth="1"/>
    <col min="8966" max="8966" width="8.6640625" style="307" customWidth="1"/>
    <col min="8967" max="8967" width="99.6640625" style="307" customWidth="1"/>
    <col min="8968" max="8974" width="23.1640625" style="307" customWidth="1"/>
    <col min="8975" max="9216" width="9.33203125" style="307"/>
    <col min="9217" max="9218" width="0" style="307" hidden="1" customWidth="1"/>
    <col min="9219" max="9219" width="7.83203125" style="307" customWidth="1"/>
    <col min="9220" max="9220" width="5" style="307" customWidth="1"/>
    <col min="9221" max="9221" width="6.5" style="307" customWidth="1"/>
    <col min="9222" max="9222" width="8.6640625" style="307" customWidth="1"/>
    <col min="9223" max="9223" width="99.6640625" style="307" customWidth="1"/>
    <col min="9224" max="9230" width="23.1640625" style="307" customWidth="1"/>
    <col min="9231" max="9472" width="9.33203125" style="307"/>
    <col min="9473" max="9474" width="0" style="307" hidden="1" customWidth="1"/>
    <col min="9475" max="9475" width="7.83203125" style="307" customWidth="1"/>
    <col min="9476" max="9476" width="5" style="307" customWidth="1"/>
    <col min="9477" max="9477" width="6.5" style="307" customWidth="1"/>
    <col min="9478" max="9478" width="8.6640625" style="307" customWidth="1"/>
    <col min="9479" max="9479" width="99.6640625" style="307" customWidth="1"/>
    <col min="9480" max="9486" width="23.1640625" style="307" customWidth="1"/>
    <col min="9487" max="9728" width="9.33203125" style="307"/>
    <col min="9729" max="9730" width="0" style="307" hidden="1" customWidth="1"/>
    <col min="9731" max="9731" width="7.83203125" style="307" customWidth="1"/>
    <col min="9732" max="9732" width="5" style="307" customWidth="1"/>
    <col min="9733" max="9733" width="6.5" style="307" customWidth="1"/>
    <col min="9734" max="9734" width="8.6640625" style="307" customWidth="1"/>
    <col min="9735" max="9735" width="99.6640625" style="307" customWidth="1"/>
    <col min="9736" max="9742" width="23.1640625" style="307" customWidth="1"/>
    <col min="9743" max="9984" width="9.33203125" style="307"/>
    <col min="9985" max="9986" width="0" style="307" hidden="1" customWidth="1"/>
    <col min="9987" max="9987" width="7.83203125" style="307" customWidth="1"/>
    <col min="9988" max="9988" width="5" style="307" customWidth="1"/>
    <col min="9989" max="9989" width="6.5" style="307" customWidth="1"/>
    <col min="9990" max="9990" width="8.6640625" style="307" customWidth="1"/>
    <col min="9991" max="9991" width="99.6640625" style="307" customWidth="1"/>
    <col min="9992" max="9998" width="23.1640625" style="307" customWidth="1"/>
    <col min="9999" max="10240" width="9.33203125" style="307"/>
    <col min="10241" max="10242" width="0" style="307" hidden="1" customWidth="1"/>
    <col min="10243" max="10243" width="7.83203125" style="307" customWidth="1"/>
    <col min="10244" max="10244" width="5" style="307" customWidth="1"/>
    <col min="10245" max="10245" width="6.5" style="307" customWidth="1"/>
    <col min="10246" max="10246" width="8.6640625" style="307" customWidth="1"/>
    <col min="10247" max="10247" width="99.6640625" style="307" customWidth="1"/>
    <col min="10248" max="10254" width="23.1640625" style="307" customWidth="1"/>
    <col min="10255" max="10496" width="9.33203125" style="307"/>
    <col min="10497" max="10498" width="0" style="307" hidden="1" customWidth="1"/>
    <col min="10499" max="10499" width="7.83203125" style="307" customWidth="1"/>
    <col min="10500" max="10500" width="5" style="307" customWidth="1"/>
    <col min="10501" max="10501" width="6.5" style="307" customWidth="1"/>
    <col min="10502" max="10502" width="8.6640625" style="307" customWidth="1"/>
    <col min="10503" max="10503" width="99.6640625" style="307" customWidth="1"/>
    <col min="10504" max="10510" width="23.1640625" style="307" customWidth="1"/>
    <col min="10511" max="10752" width="9.33203125" style="307"/>
    <col min="10753" max="10754" width="0" style="307" hidden="1" customWidth="1"/>
    <col min="10755" max="10755" width="7.83203125" style="307" customWidth="1"/>
    <col min="10756" max="10756" width="5" style="307" customWidth="1"/>
    <col min="10757" max="10757" width="6.5" style="307" customWidth="1"/>
    <col min="10758" max="10758" width="8.6640625" style="307" customWidth="1"/>
    <col min="10759" max="10759" width="99.6640625" style="307" customWidth="1"/>
    <col min="10760" max="10766" width="23.1640625" style="307" customWidth="1"/>
    <col min="10767" max="11008" width="9.33203125" style="307"/>
    <col min="11009" max="11010" width="0" style="307" hidden="1" customWidth="1"/>
    <col min="11011" max="11011" width="7.83203125" style="307" customWidth="1"/>
    <col min="11012" max="11012" width="5" style="307" customWidth="1"/>
    <col min="11013" max="11013" width="6.5" style="307" customWidth="1"/>
    <col min="11014" max="11014" width="8.6640625" style="307" customWidth="1"/>
    <col min="11015" max="11015" width="99.6640625" style="307" customWidth="1"/>
    <col min="11016" max="11022" width="23.1640625" style="307" customWidth="1"/>
    <col min="11023" max="11264" width="9.33203125" style="307"/>
    <col min="11265" max="11266" width="0" style="307" hidden="1" customWidth="1"/>
    <col min="11267" max="11267" width="7.83203125" style="307" customWidth="1"/>
    <col min="11268" max="11268" width="5" style="307" customWidth="1"/>
    <col min="11269" max="11269" width="6.5" style="307" customWidth="1"/>
    <col min="11270" max="11270" width="8.6640625" style="307" customWidth="1"/>
    <col min="11271" max="11271" width="99.6640625" style="307" customWidth="1"/>
    <col min="11272" max="11278" width="23.1640625" style="307" customWidth="1"/>
    <col min="11279" max="11520" width="9.33203125" style="307"/>
    <col min="11521" max="11522" width="0" style="307" hidden="1" customWidth="1"/>
    <col min="11523" max="11523" width="7.83203125" style="307" customWidth="1"/>
    <col min="11524" max="11524" width="5" style="307" customWidth="1"/>
    <col min="11525" max="11525" width="6.5" style="307" customWidth="1"/>
    <col min="11526" max="11526" width="8.6640625" style="307" customWidth="1"/>
    <col min="11527" max="11527" width="99.6640625" style="307" customWidth="1"/>
    <col min="11528" max="11534" width="23.1640625" style="307" customWidth="1"/>
    <col min="11535" max="11776" width="9.33203125" style="307"/>
    <col min="11777" max="11778" width="0" style="307" hidden="1" customWidth="1"/>
    <col min="11779" max="11779" width="7.83203125" style="307" customWidth="1"/>
    <col min="11780" max="11780" width="5" style="307" customWidth="1"/>
    <col min="11781" max="11781" width="6.5" style="307" customWidth="1"/>
    <col min="11782" max="11782" width="8.6640625" style="307" customWidth="1"/>
    <col min="11783" max="11783" width="99.6640625" style="307" customWidth="1"/>
    <col min="11784" max="11790" width="23.1640625" style="307" customWidth="1"/>
    <col min="11791" max="12032" width="9.33203125" style="307"/>
    <col min="12033" max="12034" width="0" style="307" hidden="1" customWidth="1"/>
    <col min="12035" max="12035" width="7.83203125" style="307" customWidth="1"/>
    <col min="12036" max="12036" width="5" style="307" customWidth="1"/>
    <col min="12037" max="12037" width="6.5" style="307" customWidth="1"/>
    <col min="12038" max="12038" width="8.6640625" style="307" customWidth="1"/>
    <col min="12039" max="12039" width="99.6640625" style="307" customWidth="1"/>
    <col min="12040" max="12046" width="23.1640625" style="307" customWidth="1"/>
    <col min="12047" max="12288" width="9.33203125" style="307"/>
    <col min="12289" max="12290" width="0" style="307" hidden="1" customWidth="1"/>
    <col min="12291" max="12291" width="7.83203125" style="307" customWidth="1"/>
    <col min="12292" max="12292" width="5" style="307" customWidth="1"/>
    <col min="12293" max="12293" width="6.5" style="307" customWidth="1"/>
    <col min="12294" max="12294" width="8.6640625" style="307" customWidth="1"/>
    <col min="12295" max="12295" width="99.6640625" style="307" customWidth="1"/>
    <col min="12296" max="12302" width="23.1640625" style="307" customWidth="1"/>
    <col min="12303" max="12544" width="9.33203125" style="307"/>
    <col min="12545" max="12546" width="0" style="307" hidden="1" customWidth="1"/>
    <col min="12547" max="12547" width="7.83203125" style="307" customWidth="1"/>
    <col min="12548" max="12548" width="5" style="307" customWidth="1"/>
    <col min="12549" max="12549" width="6.5" style="307" customWidth="1"/>
    <col min="12550" max="12550" width="8.6640625" style="307" customWidth="1"/>
    <col min="12551" max="12551" width="99.6640625" style="307" customWidth="1"/>
    <col min="12552" max="12558" width="23.1640625" style="307" customWidth="1"/>
    <col min="12559" max="12800" width="9.33203125" style="307"/>
    <col min="12801" max="12802" width="0" style="307" hidden="1" customWidth="1"/>
    <col min="12803" max="12803" width="7.83203125" style="307" customWidth="1"/>
    <col min="12804" max="12804" width="5" style="307" customWidth="1"/>
    <col min="12805" max="12805" width="6.5" style="307" customWidth="1"/>
    <col min="12806" max="12806" width="8.6640625" style="307" customWidth="1"/>
    <col min="12807" max="12807" width="99.6640625" style="307" customWidth="1"/>
    <col min="12808" max="12814" width="23.1640625" style="307" customWidth="1"/>
    <col min="12815" max="13056" width="9.33203125" style="307"/>
    <col min="13057" max="13058" width="0" style="307" hidden="1" customWidth="1"/>
    <col min="13059" max="13059" width="7.83203125" style="307" customWidth="1"/>
    <col min="13060" max="13060" width="5" style="307" customWidth="1"/>
    <col min="13061" max="13061" width="6.5" style="307" customWidth="1"/>
    <col min="13062" max="13062" width="8.6640625" style="307" customWidth="1"/>
    <col min="13063" max="13063" width="99.6640625" style="307" customWidth="1"/>
    <col min="13064" max="13070" width="23.1640625" style="307" customWidth="1"/>
    <col min="13071" max="13312" width="9.33203125" style="307"/>
    <col min="13313" max="13314" width="0" style="307" hidden="1" customWidth="1"/>
    <col min="13315" max="13315" width="7.83203125" style="307" customWidth="1"/>
    <col min="13316" max="13316" width="5" style="307" customWidth="1"/>
    <col min="13317" max="13317" width="6.5" style="307" customWidth="1"/>
    <col min="13318" max="13318" width="8.6640625" style="307" customWidth="1"/>
    <col min="13319" max="13319" width="99.6640625" style="307" customWidth="1"/>
    <col min="13320" max="13326" width="23.1640625" style="307" customWidth="1"/>
    <col min="13327" max="13568" width="9.33203125" style="307"/>
    <col min="13569" max="13570" width="0" style="307" hidden="1" customWidth="1"/>
    <col min="13571" max="13571" width="7.83203125" style="307" customWidth="1"/>
    <col min="13572" max="13572" width="5" style="307" customWidth="1"/>
    <col min="13573" max="13573" width="6.5" style="307" customWidth="1"/>
    <col min="13574" max="13574" width="8.6640625" style="307" customWidth="1"/>
    <col min="13575" max="13575" width="99.6640625" style="307" customWidth="1"/>
    <col min="13576" max="13582" width="23.1640625" style="307" customWidth="1"/>
    <col min="13583" max="13824" width="9.33203125" style="307"/>
    <col min="13825" max="13826" width="0" style="307" hidden="1" customWidth="1"/>
    <col min="13827" max="13827" width="7.83203125" style="307" customWidth="1"/>
    <col min="13828" max="13828" width="5" style="307" customWidth="1"/>
    <col min="13829" max="13829" width="6.5" style="307" customWidth="1"/>
    <col min="13830" max="13830" width="8.6640625" style="307" customWidth="1"/>
    <col min="13831" max="13831" width="99.6640625" style="307" customWidth="1"/>
    <col min="13832" max="13838" width="23.1640625" style="307" customWidth="1"/>
    <col min="13839" max="14080" width="9.33203125" style="307"/>
    <col min="14081" max="14082" width="0" style="307" hidden="1" customWidth="1"/>
    <col min="14083" max="14083" width="7.83203125" style="307" customWidth="1"/>
    <col min="14084" max="14084" width="5" style="307" customWidth="1"/>
    <col min="14085" max="14085" width="6.5" style="307" customWidth="1"/>
    <col min="14086" max="14086" width="8.6640625" style="307" customWidth="1"/>
    <col min="14087" max="14087" width="99.6640625" style="307" customWidth="1"/>
    <col min="14088" max="14094" width="23.1640625" style="307" customWidth="1"/>
    <col min="14095" max="14336" width="9.33203125" style="307"/>
    <col min="14337" max="14338" width="0" style="307" hidden="1" customWidth="1"/>
    <col min="14339" max="14339" width="7.83203125" style="307" customWidth="1"/>
    <col min="14340" max="14340" width="5" style="307" customWidth="1"/>
    <col min="14341" max="14341" width="6.5" style="307" customWidth="1"/>
    <col min="14342" max="14342" width="8.6640625" style="307" customWidth="1"/>
    <col min="14343" max="14343" width="99.6640625" style="307" customWidth="1"/>
    <col min="14344" max="14350" width="23.1640625" style="307" customWidth="1"/>
    <col min="14351" max="14592" width="9.33203125" style="307"/>
    <col min="14593" max="14594" width="0" style="307" hidden="1" customWidth="1"/>
    <col min="14595" max="14595" width="7.83203125" style="307" customWidth="1"/>
    <col min="14596" max="14596" width="5" style="307" customWidth="1"/>
    <col min="14597" max="14597" width="6.5" style="307" customWidth="1"/>
    <col min="14598" max="14598" width="8.6640625" style="307" customWidth="1"/>
    <col min="14599" max="14599" width="99.6640625" style="307" customWidth="1"/>
    <col min="14600" max="14606" width="23.1640625" style="307" customWidth="1"/>
    <col min="14607" max="14848" width="9.33203125" style="307"/>
    <col min="14849" max="14850" width="0" style="307" hidden="1" customWidth="1"/>
    <col min="14851" max="14851" width="7.83203125" style="307" customWidth="1"/>
    <col min="14852" max="14852" width="5" style="307" customWidth="1"/>
    <col min="14853" max="14853" width="6.5" style="307" customWidth="1"/>
    <col min="14854" max="14854" width="8.6640625" style="307" customWidth="1"/>
    <col min="14855" max="14855" width="99.6640625" style="307" customWidth="1"/>
    <col min="14856" max="14862" width="23.1640625" style="307" customWidth="1"/>
    <col min="14863" max="15104" width="9.33203125" style="307"/>
    <col min="15105" max="15106" width="0" style="307" hidden="1" customWidth="1"/>
    <col min="15107" max="15107" width="7.83203125" style="307" customWidth="1"/>
    <col min="15108" max="15108" width="5" style="307" customWidth="1"/>
    <col min="15109" max="15109" width="6.5" style="307" customWidth="1"/>
    <col min="15110" max="15110" width="8.6640625" style="307" customWidth="1"/>
    <col min="15111" max="15111" width="99.6640625" style="307" customWidth="1"/>
    <col min="15112" max="15118" width="23.1640625" style="307" customWidth="1"/>
    <col min="15119" max="15360" width="9.33203125" style="307"/>
    <col min="15361" max="15362" width="0" style="307" hidden="1" customWidth="1"/>
    <col min="15363" max="15363" width="7.83203125" style="307" customWidth="1"/>
    <col min="15364" max="15364" width="5" style="307" customWidth="1"/>
    <col min="15365" max="15365" width="6.5" style="307" customWidth="1"/>
    <col min="15366" max="15366" width="8.6640625" style="307" customWidth="1"/>
    <col min="15367" max="15367" width="99.6640625" style="307" customWidth="1"/>
    <col min="15368" max="15374" width="23.1640625" style="307" customWidth="1"/>
    <col min="15375" max="15616" width="9.33203125" style="307"/>
    <col min="15617" max="15618" width="0" style="307" hidden="1" customWidth="1"/>
    <col min="15619" max="15619" width="7.83203125" style="307" customWidth="1"/>
    <col min="15620" max="15620" width="5" style="307" customWidth="1"/>
    <col min="15621" max="15621" width="6.5" style="307" customWidth="1"/>
    <col min="15622" max="15622" width="8.6640625" style="307" customWidth="1"/>
    <col min="15623" max="15623" width="99.6640625" style="307" customWidth="1"/>
    <col min="15624" max="15630" width="23.1640625" style="307" customWidth="1"/>
    <col min="15631" max="15872" width="9.33203125" style="307"/>
    <col min="15873" max="15874" width="0" style="307" hidden="1" customWidth="1"/>
    <col min="15875" max="15875" width="7.83203125" style="307" customWidth="1"/>
    <col min="15876" max="15876" width="5" style="307" customWidth="1"/>
    <col min="15877" max="15877" width="6.5" style="307" customWidth="1"/>
    <col min="15878" max="15878" width="8.6640625" style="307" customWidth="1"/>
    <col min="15879" max="15879" width="99.6640625" style="307" customWidth="1"/>
    <col min="15880" max="15886" width="23.1640625" style="307" customWidth="1"/>
    <col min="15887" max="16128" width="9.33203125" style="307"/>
    <col min="16129" max="16130" width="0" style="307" hidden="1" customWidth="1"/>
    <col min="16131" max="16131" width="7.83203125" style="307" customWidth="1"/>
    <col min="16132" max="16132" width="5" style="307" customWidth="1"/>
    <col min="16133" max="16133" width="6.5" style="307" customWidth="1"/>
    <col min="16134" max="16134" width="8.6640625" style="307" customWidth="1"/>
    <col min="16135" max="16135" width="99.6640625" style="307" customWidth="1"/>
    <col min="16136" max="16142" width="23.1640625" style="307" customWidth="1"/>
    <col min="16143" max="16384" width="9.33203125" style="307"/>
  </cols>
  <sheetData>
    <row r="1" spans="3:12" x14ac:dyDescent="0.2">
      <c r="H1" s="308" t="s">
        <v>756</v>
      </c>
      <c r="I1" s="309"/>
    </row>
    <row r="2" spans="3:12" x14ac:dyDescent="0.25">
      <c r="H2" s="310" t="s">
        <v>141</v>
      </c>
      <c r="I2" s="311"/>
    </row>
    <row r="3" spans="3:12" ht="31.5" x14ac:dyDescent="0.25">
      <c r="H3" s="312" t="s">
        <v>1121</v>
      </c>
      <c r="I3" s="313"/>
    </row>
    <row r="4" spans="3:12" x14ac:dyDescent="0.25">
      <c r="H4" s="314" t="s">
        <v>1120</v>
      </c>
    </row>
    <row r="5" spans="3:12" x14ac:dyDescent="0.25">
      <c r="H5" s="315"/>
    </row>
    <row r="6" spans="3:12" ht="42" customHeight="1" x14ac:dyDescent="0.2">
      <c r="C6" s="572" t="s">
        <v>757</v>
      </c>
      <c r="D6" s="572"/>
      <c r="E6" s="572"/>
      <c r="F6" s="572"/>
      <c r="G6" s="572"/>
      <c r="H6" s="572"/>
    </row>
    <row r="7" spans="3:12" ht="27.75" hidden="1" customHeight="1" x14ac:dyDescent="0.3">
      <c r="G7" s="316"/>
    </row>
    <row r="8" spans="3:12" ht="20.25" customHeight="1" x14ac:dyDescent="0.3">
      <c r="G8" s="318"/>
      <c r="H8" s="319" t="s">
        <v>697</v>
      </c>
    </row>
    <row r="9" spans="3:12" s="322" customFormat="1" ht="36.75" customHeight="1" x14ac:dyDescent="0.25">
      <c r="C9" s="573" t="s">
        <v>699</v>
      </c>
      <c r="D9" s="574"/>
      <c r="E9" s="574"/>
      <c r="F9" s="575"/>
      <c r="G9" s="320" t="s">
        <v>3</v>
      </c>
      <c r="H9" s="321" t="s">
        <v>706</v>
      </c>
      <c r="J9" s="323"/>
    </row>
    <row r="10" spans="3:12" s="322" customFormat="1" ht="24" customHeight="1" x14ac:dyDescent="0.25">
      <c r="C10" s="324" t="s">
        <v>758</v>
      </c>
      <c r="D10" s="324" t="s">
        <v>708</v>
      </c>
      <c r="E10" s="324" t="s">
        <v>707</v>
      </c>
      <c r="F10" s="324" t="s">
        <v>712</v>
      </c>
      <c r="G10" s="325" t="s">
        <v>371</v>
      </c>
      <c r="H10" s="326">
        <f>H11+H15+H17+H19+H21+H22+H32+H34+H40+H45+H47+H56+H62+H66+H71+H73+H76+H37+H60</f>
        <v>87114824.430000007</v>
      </c>
      <c r="I10" s="327">
        <f>87114824.43</f>
        <v>87114824.430000007</v>
      </c>
      <c r="J10" s="323">
        <f>I10-H10</f>
        <v>0</v>
      </c>
      <c r="K10" s="323"/>
    </row>
    <row r="11" spans="3:12" s="333" customFormat="1" x14ac:dyDescent="0.25">
      <c r="C11" s="328" t="s">
        <v>758</v>
      </c>
      <c r="D11" s="329" t="s">
        <v>676</v>
      </c>
      <c r="E11" s="329" t="s">
        <v>707</v>
      </c>
      <c r="F11" s="329" t="s">
        <v>759</v>
      </c>
      <c r="G11" s="330" t="s">
        <v>760</v>
      </c>
      <c r="H11" s="331">
        <f>SUM(H12:H14)</f>
        <v>2421411.17</v>
      </c>
      <c r="I11" s="332"/>
      <c r="J11" s="332"/>
      <c r="K11" s="332"/>
      <c r="L11" s="332"/>
    </row>
    <row r="12" spans="3:12" s="337" customFormat="1" x14ac:dyDescent="0.25">
      <c r="C12" s="334" t="s">
        <v>758</v>
      </c>
      <c r="D12" s="334" t="s">
        <v>676</v>
      </c>
      <c r="E12" s="334" t="s">
        <v>707</v>
      </c>
      <c r="F12" s="334" t="s">
        <v>761</v>
      </c>
      <c r="G12" s="335" t="s">
        <v>762</v>
      </c>
      <c r="H12" s="298">
        <f>1335735+406411.97+10000</f>
        <v>1752146.97</v>
      </c>
      <c r="I12" s="336"/>
      <c r="J12" s="336"/>
    </row>
    <row r="13" spans="3:12" s="337" customFormat="1" x14ac:dyDescent="0.25">
      <c r="C13" s="334" t="s">
        <v>758</v>
      </c>
      <c r="D13" s="334" t="s">
        <v>676</v>
      </c>
      <c r="E13" s="334" t="s">
        <v>707</v>
      </c>
      <c r="F13" s="334" t="s">
        <v>763</v>
      </c>
      <c r="G13" s="335" t="s">
        <v>764</v>
      </c>
      <c r="H13" s="298">
        <f>1530+52650</f>
        <v>54180</v>
      </c>
      <c r="I13" s="336"/>
      <c r="J13" s="336"/>
    </row>
    <row r="14" spans="3:12" s="337" customFormat="1" x14ac:dyDescent="0.25">
      <c r="C14" s="334" t="s">
        <v>758</v>
      </c>
      <c r="D14" s="334" t="s">
        <v>676</v>
      </c>
      <c r="E14" s="334" t="s">
        <v>707</v>
      </c>
      <c r="F14" s="334" t="s">
        <v>763</v>
      </c>
      <c r="G14" s="335" t="s">
        <v>765</v>
      </c>
      <c r="H14" s="298">
        <v>615084.19999999995</v>
      </c>
      <c r="I14" s="336"/>
      <c r="J14" s="336"/>
    </row>
    <row r="15" spans="3:12" ht="31.5" x14ac:dyDescent="0.2">
      <c r="C15" s="338" t="s">
        <v>758</v>
      </c>
      <c r="D15" s="338" t="s">
        <v>676</v>
      </c>
      <c r="E15" s="338" t="s">
        <v>707</v>
      </c>
      <c r="F15" s="338" t="s">
        <v>766</v>
      </c>
      <c r="G15" s="339" t="s">
        <v>767</v>
      </c>
      <c r="H15" s="340">
        <f>H16</f>
        <v>11250</v>
      </c>
      <c r="I15" s="341"/>
      <c r="J15" s="341"/>
      <c r="K15" s="341"/>
      <c r="L15" s="341"/>
    </row>
    <row r="16" spans="3:12" s="337" customFormat="1" x14ac:dyDescent="0.25">
      <c r="C16" s="334" t="s">
        <v>758</v>
      </c>
      <c r="D16" s="334" t="s">
        <v>676</v>
      </c>
      <c r="E16" s="334" t="s">
        <v>707</v>
      </c>
      <c r="F16" s="334" t="s">
        <v>766</v>
      </c>
      <c r="G16" s="335" t="s">
        <v>217</v>
      </c>
      <c r="H16" s="298">
        <v>11250</v>
      </c>
      <c r="I16" s="336"/>
    </row>
    <row r="17" spans="1:12" ht="27.75" customHeight="1" x14ac:dyDescent="0.25">
      <c r="A17" s="342"/>
      <c r="B17" s="342"/>
      <c r="C17" s="338" t="s">
        <v>758</v>
      </c>
      <c r="D17" s="338" t="s">
        <v>676</v>
      </c>
      <c r="E17" s="338" t="s">
        <v>707</v>
      </c>
      <c r="F17" s="338" t="s">
        <v>766</v>
      </c>
      <c r="G17" s="339" t="s">
        <v>768</v>
      </c>
      <c r="H17" s="340">
        <f>H18</f>
        <v>16757239.279999997</v>
      </c>
      <c r="I17" s="341"/>
    </row>
    <row r="18" spans="1:12" s="337" customFormat="1" x14ac:dyDescent="0.25">
      <c r="A18" s="342"/>
      <c r="B18" s="342"/>
      <c r="C18" s="334" t="s">
        <v>758</v>
      </c>
      <c r="D18" s="334" t="s">
        <v>676</v>
      </c>
      <c r="E18" s="334" t="s">
        <v>707</v>
      </c>
      <c r="F18" s="334" t="s">
        <v>766</v>
      </c>
      <c r="G18" s="335" t="s">
        <v>769</v>
      </c>
      <c r="H18" s="298">
        <v>16757239.279999997</v>
      </c>
      <c r="K18" s="336"/>
    </row>
    <row r="19" spans="1:12" ht="31.5" customHeight="1" x14ac:dyDescent="0.2">
      <c r="C19" s="329" t="s">
        <v>758</v>
      </c>
      <c r="D19" s="329" t="s">
        <v>711</v>
      </c>
      <c r="E19" s="329" t="s">
        <v>707</v>
      </c>
      <c r="F19" s="329" t="s">
        <v>712</v>
      </c>
      <c r="G19" s="330" t="s">
        <v>770</v>
      </c>
      <c r="H19" s="331">
        <f>H20</f>
        <v>860000</v>
      </c>
    </row>
    <row r="20" spans="1:12" s="343" customFormat="1" x14ac:dyDescent="0.25">
      <c r="C20" s="334" t="s">
        <v>758</v>
      </c>
      <c r="D20" s="334" t="s">
        <v>711</v>
      </c>
      <c r="E20" s="334" t="s">
        <v>707</v>
      </c>
      <c r="F20" s="334" t="s">
        <v>771</v>
      </c>
      <c r="G20" s="335" t="s">
        <v>772</v>
      </c>
      <c r="H20" s="284">
        <v>860000</v>
      </c>
    </row>
    <row r="21" spans="1:12" x14ac:dyDescent="0.25">
      <c r="C21" s="329" t="s">
        <v>758</v>
      </c>
      <c r="D21" s="329" t="s">
        <v>773</v>
      </c>
      <c r="E21" s="329" t="s">
        <v>707</v>
      </c>
      <c r="F21" s="329" t="s">
        <v>774</v>
      </c>
      <c r="G21" s="344" t="s">
        <v>775</v>
      </c>
      <c r="H21" s="345">
        <v>100000</v>
      </c>
      <c r="J21" s="341"/>
    </row>
    <row r="22" spans="1:12" x14ac:dyDescent="0.25">
      <c r="C22" s="338" t="s">
        <v>776</v>
      </c>
      <c r="D22" s="338" t="s">
        <v>773</v>
      </c>
      <c r="E22" s="338" t="s">
        <v>707</v>
      </c>
      <c r="F22" s="338" t="s">
        <v>777</v>
      </c>
      <c r="G22" s="339" t="s">
        <v>778</v>
      </c>
      <c r="H22" s="346">
        <v>28808428.91</v>
      </c>
      <c r="I22" s="307">
        <v>28752617.16</v>
      </c>
      <c r="J22" s="341">
        <f>H22-I22</f>
        <v>55811.75</v>
      </c>
      <c r="K22" s="341"/>
      <c r="L22" s="341"/>
    </row>
    <row r="23" spans="1:12" s="337" customFormat="1" x14ac:dyDescent="0.25">
      <c r="C23" s="334" t="s">
        <v>758</v>
      </c>
      <c r="D23" s="334" t="s">
        <v>773</v>
      </c>
      <c r="E23" s="334" t="s">
        <v>707</v>
      </c>
      <c r="F23" s="334" t="s">
        <v>779</v>
      </c>
      <c r="G23" s="335" t="s">
        <v>223</v>
      </c>
      <c r="H23" s="298">
        <v>26931769.739999998</v>
      </c>
      <c r="J23" s="336"/>
      <c r="L23" s="336"/>
    </row>
    <row r="24" spans="1:12" s="337" customFormat="1" x14ac:dyDescent="0.25">
      <c r="C24" s="334" t="s">
        <v>758</v>
      </c>
      <c r="D24" s="334" t="s">
        <v>773</v>
      </c>
      <c r="E24" s="334" t="s">
        <v>707</v>
      </c>
      <c r="F24" s="334" t="s">
        <v>779</v>
      </c>
      <c r="G24" s="335" t="s">
        <v>275</v>
      </c>
      <c r="H24" s="298">
        <v>327600</v>
      </c>
    </row>
    <row r="25" spans="1:12" s="337" customFormat="1" x14ac:dyDescent="0.25">
      <c r="C25" s="334" t="s">
        <v>758</v>
      </c>
      <c r="D25" s="334" t="s">
        <v>773</v>
      </c>
      <c r="E25" s="334" t="s">
        <v>707</v>
      </c>
      <c r="F25" s="334" t="s">
        <v>779</v>
      </c>
      <c r="G25" s="335" t="s">
        <v>202</v>
      </c>
      <c r="H25" s="298">
        <v>125031</v>
      </c>
    </row>
    <row r="26" spans="1:12" s="337" customFormat="1" x14ac:dyDescent="0.25">
      <c r="C26" s="334" t="s">
        <v>758</v>
      </c>
      <c r="D26" s="334" t="s">
        <v>773</v>
      </c>
      <c r="E26" s="334" t="s">
        <v>707</v>
      </c>
      <c r="F26" s="334" t="s">
        <v>779</v>
      </c>
      <c r="G26" s="335" t="s">
        <v>255</v>
      </c>
      <c r="H26" s="298">
        <v>1368216.4200000002</v>
      </c>
    </row>
    <row r="27" spans="1:12" s="337" customFormat="1" ht="29.25" customHeight="1" x14ac:dyDescent="0.25">
      <c r="C27" s="347" t="s">
        <v>780</v>
      </c>
      <c r="D27" s="347" t="s">
        <v>781</v>
      </c>
      <c r="E27" s="347" t="s">
        <v>707</v>
      </c>
      <c r="F27" s="347" t="s">
        <v>782</v>
      </c>
      <c r="G27" s="348" t="s">
        <v>783</v>
      </c>
      <c r="H27" s="284">
        <v>0</v>
      </c>
    </row>
    <row r="28" spans="1:12" s="337" customFormat="1" ht="29.25" customHeight="1" x14ac:dyDescent="0.25">
      <c r="C28" s="347" t="s">
        <v>780</v>
      </c>
      <c r="D28" s="347" t="s">
        <v>781</v>
      </c>
      <c r="E28" s="347" t="s">
        <v>707</v>
      </c>
      <c r="F28" s="347" t="s">
        <v>784</v>
      </c>
      <c r="G28" s="348" t="s">
        <v>783</v>
      </c>
      <c r="H28" s="284">
        <v>0</v>
      </c>
    </row>
    <row r="29" spans="1:12" s="337" customFormat="1" ht="29.25" customHeight="1" x14ac:dyDescent="0.25">
      <c r="C29" s="334" t="s">
        <v>758</v>
      </c>
      <c r="D29" s="334" t="s">
        <v>773</v>
      </c>
      <c r="E29" s="334" t="s">
        <v>707</v>
      </c>
      <c r="F29" s="334" t="s">
        <v>779</v>
      </c>
      <c r="G29" s="348" t="s">
        <v>785</v>
      </c>
      <c r="H29" s="284">
        <v>0</v>
      </c>
    </row>
    <row r="30" spans="1:12" s="337" customFormat="1" ht="15.75" customHeight="1" x14ac:dyDescent="0.25">
      <c r="C30" s="334" t="s">
        <v>786</v>
      </c>
      <c r="D30" s="334" t="s">
        <v>787</v>
      </c>
      <c r="E30" s="334" t="s">
        <v>707</v>
      </c>
      <c r="F30" s="334" t="s">
        <v>771</v>
      </c>
      <c r="G30" s="348" t="s">
        <v>788</v>
      </c>
      <c r="H30" s="284">
        <v>0</v>
      </c>
    </row>
    <row r="31" spans="1:12" s="337" customFormat="1" ht="15" customHeight="1" x14ac:dyDescent="0.25">
      <c r="C31" s="334" t="s">
        <v>758</v>
      </c>
      <c r="D31" s="334" t="s">
        <v>773</v>
      </c>
      <c r="E31" s="334" t="s">
        <v>707</v>
      </c>
      <c r="F31" s="334" t="s">
        <v>789</v>
      </c>
      <c r="G31" s="348" t="s">
        <v>790</v>
      </c>
      <c r="H31" s="284">
        <v>0</v>
      </c>
      <c r="K31" s="336"/>
    </row>
    <row r="32" spans="1:12" x14ac:dyDescent="0.25">
      <c r="C32" s="338" t="s">
        <v>758</v>
      </c>
      <c r="D32" s="338" t="s">
        <v>773</v>
      </c>
      <c r="E32" s="338" t="s">
        <v>707</v>
      </c>
      <c r="F32" s="338" t="s">
        <v>791</v>
      </c>
      <c r="G32" s="339" t="s">
        <v>398</v>
      </c>
      <c r="H32" s="346">
        <f>H33</f>
        <v>1083600</v>
      </c>
    </row>
    <row r="33" spans="3:10" s="337" customFormat="1" ht="31.5" x14ac:dyDescent="0.25">
      <c r="C33" s="334" t="s">
        <v>758</v>
      </c>
      <c r="D33" s="334" t="s">
        <v>773</v>
      </c>
      <c r="E33" s="334" t="s">
        <v>707</v>
      </c>
      <c r="F33" s="334" t="s">
        <v>791</v>
      </c>
      <c r="G33" s="335" t="s">
        <v>792</v>
      </c>
      <c r="H33" s="298">
        <v>1083600</v>
      </c>
    </row>
    <row r="34" spans="3:10" s="333" customFormat="1" x14ac:dyDescent="0.25">
      <c r="C34" s="338" t="s">
        <v>758</v>
      </c>
      <c r="D34" s="338" t="s">
        <v>708</v>
      </c>
      <c r="E34" s="338"/>
      <c r="F34" s="338" t="s">
        <v>793</v>
      </c>
      <c r="G34" s="339" t="s">
        <v>409</v>
      </c>
      <c r="H34" s="346">
        <f>H35+H36</f>
        <v>27100</v>
      </c>
      <c r="I34" s="332"/>
    </row>
    <row r="35" spans="3:10" s="337" customFormat="1" x14ac:dyDescent="0.25">
      <c r="C35" s="334" t="s">
        <v>758</v>
      </c>
      <c r="D35" s="334" t="s">
        <v>773</v>
      </c>
      <c r="E35" s="334" t="s">
        <v>707</v>
      </c>
      <c r="F35" s="334" t="s">
        <v>794</v>
      </c>
      <c r="G35" s="335" t="s">
        <v>795</v>
      </c>
      <c r="H35" s="298">
        <v>27100</v>
      </c>
    </row>
    <row r="36" spans="3:10" s="337" customFormat="1" ht="48.75" hidden="1" customHeight="1" x14ac:dyDescent="0.25">
      <c r="C36" s="334" t="s">
        <v>758</v>
      </c>
      <c r="D36" s="334" t="s">
        <v>773</v>
      </c>
      <c r="E36" s="334" t="s">
        <v>707</v>
      </c>
      <c r="F36" s="334" t="s">
        <v>796</v>
      </c>
      <c r="G36" s="335" t="s">
        <v>797</v>
      </c>
      <c r="H36" s="298">
        <v>0</v>
      </c>
    </row>
    <row r="37" spans="3:10" s="349" customFormat="1" x14ac:dyDescent="0.2">
      <c r="C37" s="338" t="s">
        <v>758</v>
      </c>
      <c r="D37" s="338" t="s">
        <v>773</v>
      </c>
      <c r="E37" s="338" t="s">
        <v>707</v>
      </c>
      <c r="F37" s="338" t="s">
        <v>712</v>
      </c>
      <c r="G37" s="339" t="s">
        <v>436</v>
      </c>
      <c r="H37" s="340">
        <f>H38+H39</f>
        <v>130995.26</v>
      </c>
    </row>
    <row r="38" spans="3:10" s="337" customFormat="1" ht="31.5" x14ac:dyDescent="0.25">
      <c r="C38" s="334" t="s">
        <v>758</v>
      </c>
      <c r="D38" s="334" t="s">
        <v>773</v>
      </c>
      <c r="E38" s="334" t="s">
        <v>707</v>
      </c>
      <c r="F38" s="334" t="s">
        <v>798</v>
      </c>
      <c r="G38" s="335" t="s">
        <v>799</v>
      </c>
      <c r="H38" s="298">
        <v>130995.26</v>
      </c>
    </row>
    <row r="39" spans="3:10" s="337" customFormat="1" ht="39.75" hidden="1" customHeight="1" x14ac:dyDescent="0.25">
      <c r="C39" s="334" t="s">
        <v>758</v>
      </c>
      <c r="D39" s="334" t="s">
        <v>773</v>
      </c>
      <c r="E39" s="334" t="s">
        <v>707</v>
      </c>
      <c r="F39" s="334" t="s">
        <v>798</v>
      </c>
      <c r="G39" s="335" t="s">
        <v>800</v>
      </c>
      <c r="H39" s="298">
        <v>0</v>
      </c>
    </row>
    <row r="40" spans="3:10" s="333" customFormat="1" x14ac:dyDescent="0.25">
      <c r="C40" s="338" t="s">
        <v>758</v>
      </c>
      <c r="D40" s="338" t="s">
        <v>708</v>
      </c>
      <c r="E40" s="338" t="s">
        <v>707</v>
      </c>
      <c r="F40" s="338" t="s">
        <v>777</v>
      </c>
      <c r="G40" s="339" t="s">
        <v>801</v>
      </c>
      <c r="H40" s="346">
        <f>H41+H42+H44+H43</f>
        <v>2856476.4</v>
      </c>
      <c r="I40" s="350"/>
      <c r="J40" s="350"/>
    </row>
    <row r="41" spans="3:10" s="337" customFormat="1" ht="31.5" x14ac:dyDescent="0.25">
      <c r="C41" s="334" t="s">
        <v>758</v>
      </c>
      <c r="D41" s="334" t="s">
        <v>773</v>
      </c>
      <c r="E41" s="334" t="s">
        <v>707</v>
      </c>
      <c r="F41" s="334" t="s">
        <v>802</v>
      </c>
      <c r="G41" s="335" t="s">
        <v>803</v>
      </c>
      <c r="H41" s="298">
        <f>30000+1807601.19</f>
        <v>1837601.19</v>
      </c>
      <c r="I41" s="351"/>
      <c r="J41" s="352"/>
    </row>
    <row r="42" spans="3:10" s="337" customFormat="1" x14ac:dyDescent="0.25">
      <c r="C42" s="334" t="s">
        <v>758</v>
      </c>
      <c r="D42" s="334" t="s">
        <v>773</v>
      </c>
      <c r="E42" s="334" t="s">
        <v>707</v>
      </c>
      <c r="F42" s="334" t="s">
        <v>804</v>
      </c>
      <c r="G42" s="335" t="s">
        <v>805</v>
      </c>
      <c r="H42" s="298">
        <f>70000+948875.21</f>
        <v>1018875.21</v>
      </c>
      <c r="I42" s="351"/>
      <c r="J42" s="352"/>
    </row>
    <row r="43" spans="3:10" s="337" customFormat="1" hidden="1" x14ac:dyDescent="0.25">
      <c r="C43" s="334" t="s">
        <v>758</v>
      </c>
      <c r="D43" s="334" t="s">
        <v>773</v>
      </c>
      <c r="E43" s="334" t="s">
        <v>707</v>
      </c>
      <c r="F43" s="334" t="s">
        <v>802</v>
      </c>
      <c r="G43" s="335" t="s">
        <v>806</v>
      </c>
      <c r="H43" s="298">
        <v>0</v>
      </c>
      <c r="I43" s="351"/>
      <c r="J43" s="352"/>
    </row>
    <row r="44" spans="3:10" s="337" customFormat="1" hidden="1" x14ac:dyDescent="0.25">
      <c r="C44" s="334" t="s">
        <v>758</v>
      </c>
      <c r="D44" s="334" t="s">
        <v>773</v>
      </c>
      <c r="E44" s="334" t="s">
        <v>707</v>
      </c>
      <c r="F44" s="334" t="s">
        <v>779</v>
      </c>
      <c r="G44" s="335" t="s">
        <v>807</v>
      </c>
      <c r="H44" s="298"/>
      <c r="I44" s="351"/>
      <c r="J44" s="351"/>
    </row>
    <row r="45" spans="3:10" x14ac:dyDescent="0.25">
      <c r="C45" s="338" t="s">
        <v>758</v>
      </c>
      <c r="D45" s="338" t="s">
        <v>773</v>
      </c>
      <c r="E45" s="338" t="s">
        <v>707</v>
      </c>
      <c r="F45" s="338" t="s">
        <v>777</v>
      </c>
      <c r="G45" s="339" t="s">
        <v>474</v>
      </c>
      <c r="H45" s="346">
        <f>H46</f>
        <v>1690000</v>
      </c>
      <c r="I45" s="353"/>
    </row>
    <row r="46" spans="3:10" s="337" customFormat="1" ht="15.75" customHeight="1" x14ac:dyDescent="0.25">
      <c r="C46" s="334" t="s">
        <v>758</v>
      </c>
      <c r="D46" s="334" t="s">
        <v>773</v>
      </c>
      <c r="E46" s="334" t="s">
        <v>707</v>
      </c>
      <c r="F46" s="334" t="s">
        <v>779</v>
      </c>
      <c r="G46" s="348" t="s">
        <v>808</v>
      </c>
      <c r="H46" s="298">
        <v>1690000</v>
      </c>
      <c r="I46" s="351"/>
    </row>
    <row r="47" spans="3:10" x14ac:dyDescent="0.25">
      <c r="C47" s="338" t="s">
        <v>758</v>
      </c>
      <c r="D47" s="338" t="s">
        <v>773</v>
      </c>
      <c r="E47" s="338" t="s">
        <v>707</v>
      </c>
      <c r="F47" s="338" t="s">
        <v>809</v>
      </c>
      <c r="G47" s="339" t="s">
        <v>482</v>
      </c>
      <c r="H47" s="346">
        <f>SUM(H48:H53)</f>
        <v>2558880.7999999998</v>
      </c>
      <c r="I47" s="353"/>
      <c r="J47" s="341"/>
    </row>
    <row r="48" spans="3:10" s="337" customFormat="1" ht="31.5" x14ac:dyDescent="0.25">
      <c r="C48" s="354" t="s">
        <v>758</v>
      </c>
      <c r="D48" s="354" t="s">
        <v>773</v>
      </c>
      <c r="E48" s="354" t="s">
        <v>707</v>
      </c>
      <c r="F48" s="355" t="s">
        <v>810</v>
      </c>
      <c r="G48" s="356" t="s">
        <v>811</v>
      </c>
      <c r="H48" s="298">
        <v>36000</v>
      </c>
      <c r="I48" s="351"/>
    </row>
    <row r="49" spans="3:9" s="337" customFormat="1" ht="48" customHeight="1" x14ac:dyDescent="0.25">
      <c r="C49" s="354" t="s">
        <v>758</v>
      </c>
      <c r="D49" s="354" t="s">
        <v>773</v>
      </c>
      <c r="E49" s="354" t="s">
        <v>707</v>
      </c>
      <c r="F49" s="355" t="s">
        <v>809</v>
      </c>
      <c r="G49" s="356" t="s">
        <v>812</v>
      </c>
      <c r="H49" s="298">
        <v>265792.5</v>
      </c>
      <c r="I49" s="351"/>
    </row>
    <row r="50" spans="3:9" s="337" customFormat="1" x14ac:dyDescent="0.25">
      <c r="C50" s="354" t="s">
        <v>758</v>
      </c>
      <c r="D50" s="354" t="s">
        <v>773</v>
      </c>
      <c r="E50" s="354" t="s">
        <v>707</v>
      </c>
      <c r="F50" s="355" t="s">
        <v>809</v>
      </c>
      <c r="G50" s="356" t="s">
        <v>499</v>
      </c>
      <c r="H50" s="298">
        <v>21197.360000000001</v>
      </c>
      <c r="I50" s="351"/>
    </row>
    <row r="51" spans="3:9" s="337" customFormat="1" ht="31.5" x14ac:dyDescent="0.25">
      <c r="C51" s="354" t="s">
        <v>758</v>
      </c>
      <c r="D51" s="354" t="s">
        <v>773</v>
      </c>
      <c r="E51" s="354" t="s">
        <v>707</v>
      </c>
      <c r="F51" s="355" t="s">
        <v>810</v>
      </c>
      <c r="G51" s="356" t="s">
        <v>813</v>
      </c>
      <c r="H51" s="298">
        <v>436053.94</v>
      </c>
      <c r="I51" s="351"/>
    </row>
    <row r="52" spans="3:9" s="337" customFormat="1" hidden="1" x14ac:dyDescent="0.25">
      <c r="C52" s="354" t="s">
        <v>814</v>
      </c>
      <c r="D52" s="354" t="s">
        <v>711</v>
      </c>
      <c r="E52" s="354" t="s">
        <v>707</v>
      </c>
      <c r="F52" s="355" t="s">
        <v>735</v>
      </c>
      <c r="G52" s="356" t="s">
        <v>815</v>
      </c>
      <c r="H52" s="298"/>
      <c r="I52" s="351"/>
    </row>
    <row r="53" spans="3:9" s="337" customFormat="1" x14ac:dyDescent="0.25">
      <c r="C53" s="354" t="s">
        <v>758</v>
      </c>
      <c r="D53" s="354" t="s">
        <v>773</v>
      </c>
      <c r="E53" s="354" t="s">
        <v>707</v>
      </c>
      <c r="F53" s="355" t="s">
        <v>810</v>
      </c>
      <c r="G53" s="356" t="s">
        <v>684</v>
      </c>
      <c r="H53" s="298">
        <v>1799837</v>
      </c>
      <c r="I53" s="351"/>
    </row>
    <row r="54" spans="3:9" hidden="1" x14ac:dyDescent="0.25">
      <c r="C54" s="357"/>
      <c r="D54" s="357"/>
      <c r="E54" s="357"/>
      <c r="F54" s="358"/>
      <c r="G54" s="359"/>
      <c r="H54" s="298"/>
      <c r="I54" s="360"/>
    </row>
    <row r="55" spans="3:9" ht="39.75" hidden="1" customHeight="1" x14ac:dyDescent="0.25">
      <c r="C55" s="357"/>
      <c r="D55" s="357"/>
      <c r="E55" s="357"/>
      <c r="F55" s="358"/>
      <c r="G55" s="359"/>
      <c r="H55" s="298"/>
      <c r="I55" s="360"/>
    </row>
    <row r="56" spans="3:9" x14ac:dyDescent="0.25">
      <c r="C56" s="361" t="s">
        <v>758</v>
      </c>
      <c r="D56" s="361" t="s">
        <v>773</v>
      </c>
      <c r="E56" s="361" t="s">
        <v>707</v>
      </c>
      <c r="F56" s="361" t="s">
        <v>816</v>
      </c>
      <c r="G56" s="362" t="s">
        <v>817</v>
      </c>
      <c r="H56" s="346">
        <f>H57+H58+H59</f>
        <v>7089287.1600000001</v>
      </c>
      <c r="I56" s="353"/>
    </row>
    <row r="57" spans="3:9" s="337" customFormat="1" x14ac:dyDescent="0.25">
      <c r="C57" s="334" t="s">
        <v>758</v>
      </c>
      <c r="D57" s="334" t="s">
        <v>773</v>
      </c>
      <c r="E57" s="334" t="s">
        <v>707</v>
      </c>
      <c r="F57" s="334" t="s">
        <v>816</v>
      </c>
      <c r="G57" s="363" t="s">
        <v>173</v>
      </c>
      <c r="H57" s="364">
        <f>3491250.05+10000+200000+1057377.52</f>
        <v>4758627.57</v>
      </c>
    </row>
    <row r="58" spans="3:9" s="337" customFormat="1" x14ac:dyDescent="0.25">
      <c r="C58" s="334" t="s">
        <v>758</v>
      </c>
      <c r="D58" s="334" t="s">
        <v>773</v>
      </c>
      <c r="E58" s="334" t="s">
        <v>707</v>
      </c>
      <c r="F58" s="334" t="s">
        <v>816</v>
      </c>
      <c r="G58" s="363" t="s">
        <v>223</v>
      </c>
      <c r="H58" s="364">
        <f>2566737.59-256078</f>
        <v>2310659.59</v>
      </c>
    </row>
    <row r="59" spans="3:9" s="337" customFormat="1" x14ac:dyDescent="0.25">
      <c r="C59" s="334" t="s">
        <v>758</v>
      </c>
      <c r="D59" s="334" t="s">
        <v>773</v>
      </c>
      <c r="E59" s="334" t="s">
        <v>707</v>
      </c>
      <c r="F59" s="334" t="s">
        <v>816</v>
      </c>
      <c r="G59" s="363" t="s">
        <v>194</v>
      </c>
      <c r="H59" s="364">
        <v>20000</v>
      </c>
    </row>
    <row r="60" spans="3:9" s="337" customFormat="1" x14ac:dyDescent="0.25">
      <c r="C60" s="328" t="s">
        <v>758</v>
      </c>
      <c r="D60" s="328" t="s">
        <v>773</v>
      </c>
      <c r="E60" s="328" t="s">
        <v>707</v>
      </c>
      <c r="F60" s="365" t="s">
        <v>818</v>
      </c>
      <c r="G60" s="344" t="s">
        <v>521</v>
      </c>
      <c r="H60" s="345">
        <f>H61</f>
        <v>10393544.93</v>
      </c>
    </row>
    <row r="61" spans="3:9" s="337" customFormat="1" ht="47.25" x14ac:dyDescent="0.25">
      <c r="C61" s="354" t="s">
        <v>758</v>
      </c>
      <c r="D61" s="354" t="s">
        <v>773</v>
      </c>
      <c r="E61" s="354" t="s">
        <v>707</v>
      </c>
      <c r="F61" s="355" t="s">
        <v>818</v>
      </c>
      <c r="G61" s="366" t="s">
        <v>819</v>
      </c>
      <c r="H61" s="298">
        <v>10393544.93</v>
      </c>
    </row>
    <row r="62" spans="3:9" s="333" customFormat="1" x14ac:dyDescent="0.25">
      <c r="C62" s="338" t="s">
        <v>758</v>
      </c>
      <c r="D62" s="338" t="s">
        <v>708</v>
      </c>
      <c r="E62" s="338" t="s">
        <v>707</v>
      </c>
      <c r="F62" s="338" t="s">
        <v>712</v>
      </c>
      <c r="G62" s="367" t="s">
        <v>541</v>
      </c>
      <c r="H62" s="346">
        <f>H63+H64+H65</f>
        <v>1983660.2</v>
      </c>
    </row>
    <row r="63" spans="3:9" s="370" customFormat="1" x14ac:dyDescent="0.25">
      <c r="C63" s="368" t="s">
        <v>758</v>
      </c>
      <c r="D63" s="368" t="s">
        <v>773</v>
      </c>
      <c r="E63" s="368" t="s">
        <v>707</v>
      </c>
      <c r="F63" s="368" t="s">
        <v>820</v>
      </c>
      <c r="G63" s="363" t="s">
        <v>821</v>
      </c>
      <c r="H63" s="369">
        <v>58660.2</v>
      </c>
    </row>
    <row r="64" spans="3:9" s="370" customFormat="1" ht="28.5" customHeight="1" x14ac:dyDescent="0.25">
      <c r="C64" s="368" t="s">
        <v>758</v>
      </c>
      <c r="D64" s="368" t="s">
        <v>773</v>
      </c>
      <c r="E64" s="368" t="s">
        <v>707</v>
      </c>
      <c r="F64" s="368" t="s">
        <v>822</v>
      </c>
      <c r="G64" s="363" t="s">
        <v>823</v>
      </c>
      <c r="H64" s="369">
        <v>1295000</v>
      </c>
    </row>
    <row r="65" spans="3:11" s="370" customFormat="1" ht="47.25" x14ac:dyDescent="0.25">
      <c r="C65" s="368" t="s">
        <v>758</v>
      </c>
      <c r="D65" s="368" t="s">
        <v>773</v>
      </c>
      <c r="E65" s="368" t="s">
        <v>707</v>
      </c>
      <c r="F65" s="368" t="s">
        <v>822</v>
      </c>
      <c r="G65" s="371" t="s">
        <v>824</v>
      </c>
      <c r="H65" s="369">
        <v>630000</v>
      </c>
    </row>
    <row r="66" spans="3:11" s="333" customFormat="1" x14ac:dyDescent="0.25">
      <c r="C66" s="372" t="s">
        <v>758</v>
      </c>
      <c r="D66" s="372" t="s">
        <v>773</v>
      </c>
      <c r="E66" s="372" t="s">
        <v>707</v>
      </c>
      <c r="F66" s="338" t="s">
        <v>712</v>
      </c>
      <c r="G66" s="373" t="s">
        <v>590</v>
      </c>
      <c r="H66" s="346">
        <f>H70+H67+H68+H69</f>
        <v>8747082.4000000004</v>
      </c>
      <c r="J66" s="332"/>
    </row>
    <row r="67" spans="3:11" s="337" customFormat="1" ht="33.75" customHeight="1" x14ac:dyDescent="0.25">
      <c r="C67" s="334" t="s">
        <v>758</v>
      </c>
      <c r="D67" s="334" t="s">
        <v>773</v>
      </c>
      <c r="E67" s="334" t="s">
        <v>707</v>
      </c>
      <c r="F67" s="334" t="s">
        <v>825</v>
      </c>
      <c r="G67" s="363" t="s">
        <v>553</v>
      </c>
      <c r="H67" s="364">
        <v>1217544</v>
      </c>
      <c r="J67" s="336"/>
    </row>
    <row r="68" spans="3:11" s="337" customFormat="1" ht="31.5" x14ac:dyDescent="0.25">
      <c r="C68" s="334" t="s">
        <v>758</v>
      </c>
      <c r="D68" s="334" t="s">
        <v>773</v>
      </c>
      <c r="E68" s="334" t="s">
        <v>707</v>
      </c>
      <c r="F68" s="334" t="s">
        <v>825</v>
      </c>
      <c r="G68" s="371" t="s">
        <v>826</v>
      </c>
      <c r="H68" s="364">
        <v>300000</v>
      </c>
      <c r="J68" s="336"/>
    </row>
    <row r="69" spans="3:11" s="337" customFormat="1" ht="47.25" x14ac:dyDescent="0.25">
      <c r="C69" s="334" t="s">
        <v>758</v>
      </c>
      <c r="D69" s="334" t="s">
        <v>773</v>
      </c>
      <c r="E69" s="334" t="s">
        <v>707</v>
      </c>
      <c r="F69" s="334" t="s">
        <v>825</v>
      </c>
      <c r="G69" s="371" t="s">
        <v>827</v>
      </c>
      <c r="H69" s="364">
        <v>300000</v>
      </c>
      <c r="J69" s="336"/>
    </row>
    <row r="70" spans="3:11" s="337" customFormat="1" ht="47.25" x14ac:dyDescent="0.25">
      <c r="C70" s="334" t="s">
        <v>758</v>
      </c>
      <c r="D70" s="334" t="s">
        <v>773</v>
      </c>
      <c r="E70" s="334" t="s">
        <v>707</v>
      </c>
      <c r="F70" s="334" t="s">
        <v>825</v>
      </c>
      <c r="G70" s="363" t="s">
        <v>828</v>
      </c>
      <c r="H70" s="364">
        <v>6929538.4000000004</v>
      </c>
    </row>
    <row r="71" spans="3:11" ht="30.75" hidden="1" customHeight="1" x14ac:dyDescent="0.25">
      <c r="C71" s="338" t="s">
        <v>758</v>
      </c>
      <c r="D71" s="338" t="s">
        <v>773</v>
      </c>
      <c r="E71" s="338" t="s">
        <v>707</v>
      </c>
      <c r="F71" s="338" t="s">
        <v>829</v>
      </c>
      <c r="G71" s="362" t="s">
        <v>830</v>
      </c>
      <c r="H71" s="374">
        <v>0</v>
      </c>
    </row>
    <row r="72" spans="3:11" hidden="1" x14ac:dyDescent="0.25">
      <c r="C72" s="361" t="s">
        <v>758</v>
      </c>
      <c r="D72" s="361" t="s">
        <v>773</v>
      </c>
      <c r="E72" s="361" t="s">
        <v>707</v>
      </c>
      <c r="F72" s="361" t="s">
        <v>831</v>
      </c>
      <c r="G72" s="362" t="s">
        <v>832</v>
      </c>
      <c r="H72" s="375">
        <v>0</v>
      </c>
    </row>
    <row r="73" spans="3:11" x14ac:dyDescent="0.25">
      <c r="C73" s="372" t="s">
        <v>758</v>
      </c>
      <c r="D73" s="372" t="s">
        <v>773</v>
      </c>
      <c r="E73" s="372" t="s">
        <v>707</v>
      </c>
      <c r="F73" s="372" t="s">
        <v>833</v>
      </c>
      <c r="G73" s="373" t="s">
        <v>834</v>
      </c>
      <c r="H73" s="346">
        <f>H74</f>
        <v>760740.48</v>
      </c>
      <c r="I73" s="341"/>
    </row>
    <row r="74" spans="3:11" s="337" customFormat="1" ht="30.75" customHeight="1" x14ac:dyDescent="0.25">
      <c r="C74" s="334" t="s">
        <v>758</v>
      </c>
      <c r="D74" s="334" t="s">
        <v>773</v>
      </c>
      <c r="E74" s="334" t="s">
        <v>707</v>
      </c>
      <c r="F74" s="334" t="s">
        <v>833</v>
      </c>
      <c r="G74" s="363" t="s">
        <v>835</v>
      </c>
      <c r="H74" s="364">
        <v>760740.48</v>
      </c>
      <c r="J74" s="336"/>
    </row>
    <row r="75" spans="3:11" s="337" customFormat="1" ht="30.75" hidden="1" customHeight="1" x14ac:dyDescent="0.25">
      <c r="C75" s="334" t="s">
        <v>758</v>
      </c>
      <c r="D75" s="334" t="s">
        <v>773</v>
      </c>
      <c r="E75" s="334" t="s">
        <v>707</v>
      </c>
      <c r="F75" s="334" t="s">
        <v>836</v>
      </c>
      <c r="G75" s="363" t="s">
        <v>837</v>
      </c>
      <c r="H75" s="364">
        <v>0</v>
      </c>
    </row>
    <row r="76" spans="3:11" x14ac:dyDescent="0.25">
      <c r="C76" s="338" t="s">
        <v>758</v>
      </c>
      <c r="D76" s="338" t="s">
        <v>708</v>
      </c>
      <c r="E76" s="338" t="s">
        <v>707</v>
      </c>
      <c r="F76" s="338" t="s">
        <v>712</v>
      </c>
      <c r="G76" s="339" t="s">
        <v>838</v>
      </c>
      <c r="H76" s="346">
        <f>H78</f>
        <v>835127.44</v>
      </c>
    </row>
    <row r="77" spans="3:11" s="337" customFormat="1" ht="15.75" hidden="1" customHeight="1" x14ac:dyDescent="0.25">
      <c r="C77" s="354" t="s">
        <v>758</v>
      </c>
      <c r="D77" s="354" t="s">
        <v>773</v>
      </c>
      <c r="E77" s="354" t="s">
        <v>707</v>
      </c>
      <c r="F77" s="354" t="s">
        <v>839</v>
      </c>
      <c r="G77" s="348" t="s">
        <v>840</v>
      </c>
      <c r="H77" s="364">
        <v>0</v>
      </c>
    </row>
    <row r="78" spans="3:11" s="337" customFormat="1" ht="15.75" customHeight="1" x14ac:dyDescent="0.25">
      <c r="C78" s="354" t="s">
        <v>758</v>
      </c>
      <c r="D78" s="354" t="s">
        <v>781</v>
      </c>
      <c r="E78" s="354" t="s">
        <v>707</v>
      </c>
      <c r="F78" s="354" t="s">
        <v>841</v>
      </c>
      <c r="G78" s="348" t="s">
        <v>842</v>
      </c>
      <c r="H78" s="364">
        <v>835127.44</v>
      </c>
      <c r="K78" s="336"/>
    </row>
    <row r="79" spans="3:11" ht="15.75" customHeight="1" x14ac:dyDescent="0.25"/>
    <row r="85" spans="3:11" s="322" customFormat="1" x14ac:dyDescent="0.25">
      <c r="H85" s="376"/>
      <c r="I85" s="377"/>
      <c r="J85" s="377"/>
      <c r="K85" s="377"/>
    </row>
    <row r="86" spans="3:11" s="322" customFormat="1" x14ac:dyDescent="0.25">
      <c r="C86" s="378" t="s">
        <v>843</v>
      </c>
      <c r="D86" s="378" t="s">
        <v>720</v>
      </c>
      <c r="E86" s="378"/>
      <c r="F86" s="378" t="s">
        <v>844</v>
      </c>
      <c r="G86" s="379" t="s">
        <v>845</v>
      </c>
      <c r="H86" s="380"/>
      <c r="I86" s="377"/>
      <c r="J86" s="377"/>
      <c r="K86" s="377"/>
    </row>
    <row r="87" spans="3:11" x14ac:dyDescent="0.25">
      <c r="C87" s="368"/>
      <c r="D87" s="368"/>
      <c r="E87" s="368"/>
      <c r="F87" s="368"/>
      <c r="G87" s="381" t="s">
        <v>846</v>
      </c>
      <c r="H87" s="382"/>
      <c r="I87" s="383"/>
      <c r="J87" s="383"/>
      <c r="K87" s="383"/>
    </row>
    <row r="88" spans="3:11" x14ac:dyDescent="0.25">
      <c r="C88" s="368"/>
      <c r="D88" s="368"/>
      <c r="E88" s="368"/>
      <c r="F88" s="368"/>
      <c r="G88" s="381" t="s">
        <v>847</v>
      </c>
      <c r="H88" s="382"/>
      <c r="I88" s="383"/>
      <c r="J88" s="383"/>
      <c r="K88" s="383"/>
    </row>
    <row r="89" spans="3:11" x14ac:dyDescent="0.25">
      <c r="C89" s="384"/>
      <c r="D89" s="384"/>
      <c r="E89" s="384"/>
      <c r="F89" s="384"/>
      <c r="G89" s="385"/>
      <c r="H89" s="382"/>
      <c r="I89" s="383"/>
      <c r="J89" s="383"/>
      <c r="K89" s="383"/>
    </row>
    <row r="90" spans="3:11" x14ac:dyDescent="0.25">
      <c r="C90" s="384"/>
      <c r="D90" s="384"/>
      <c r="E90" s="384"/>
      <c r="F90" s="384"/>
      <c r="G90" s="385"/>
      <c r="H90" s="382"/>
      <c r="I90" s="383"/>
      <c r="J90" s="383"/>
      <c r="K90" s="383"/>
    </row>
  </sheetData>
  <mergeCells count="2">
    <mergeCell ref="C6:H6"/>
    <mergeCell ref="C9:F9"/>
  </mergeCells>
  <pageMargins left="0.7" right="0.7" top="0.75" bottom="0.75" header="0.3" footer="0.3"/>
  <pageSetup paperSize="9" scale="44" fitToWidth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43"/>
  <sheetViews>
    <sheetView workbookViewId="0">
      <pane xSplit="26" ySplit="8" topLeftCell="AA220" activePane="bottomRight" state="frozen"/>
      <selection pane="topRight" activeCell="AA1" sqref="AA1"/>
      <selection pane="bottomLeft" activeCell="A9" sqref="A9"/>
      <selection pane="bottomRight" sqref="A1:AC412"/>
    </sheetView>
  </sheetViews>
  <sheetFormatPr defaultColWidth="15.33203125" defaultRowHeight="12.75" x14ac:dyDescent="0.2"/>
  <cols>
    <col min="1" max="1" width="62.5" style="48" customWidth="1"/>
    <col min="2" max="2" width="8.83203125" style="49" customWidth="1"/>
    <col min="3" max="3" width="11.1640625" style="49" customWidth="1"/>
    <col min="4" max="4" width="16.6640625" style="49" customWidth="1"/>
    <col min="5" max="5" width="8.83203125" style="174" customWidth="1"/>
    <col min="6" max="6" width="10" style="49" customWidth="1"/>
    <col min="7" max="7" width="11" style="49" customWidth="1"/>
    <col min="8" max="8" width="16.1640625" style="175" hidden="1" customWidth="1"/>
    <col min="9" max="14" width="15.83203125" style="48" hidden="1" customWidth="1"/>
    <col min="15" max="15" width="10.6640625" style="48" hidden="1" customWidth="1"/>
    <col min="16" max="16" width="19.1640625" style="53" hidden="1" customWidth="1"/>
    <col min="17" max="18" width="19.1640625" style="48" hidden="1" customWidth="1"/>
    <col min="19" max="19" width="20" style="48" hidden="1" customWidth="1"/>
    <col min="20" max="24" width="19.1640625" style="48" hidden="1" customWidth="1"/>
    <col min="25" max="26" width="16.1640625" style="175" hidden="1" customWidth="1"/>
    <col min="27" max="27" width="18.33203125" style="53" customWidth="1"/>
    <col min="28" max="28" width="19.5" style="53" customWidth="1"/>
    <col min="29" max="29" width="19.83203125" style="53" customWidth="1"/>
    <col min="30" max="30" width="15.33203125" style="57" customWidth="1"/>
    <col min="31" max="32" width="15.33203125" style="57"/>
    <col min="33" max="260" width="15.33203125" style="48"/>
    <col min="261" max="261" width="48.5" style="48" customWidth="1"/>
    <col min="262" max="262" width="8.6640625" style="48" customWidth="1"/>
    <col min="263" max="263" width="8.1640625" style="48" customWidth="1"/>
    <col min="264" max="264" width="15.33203125" style="48" customWidth="1"/>
    <col min="265" max="265" width="5.33203125" style="48" customWidth="1"/>
    <col min="266" max="266" width="7" style="48" customWidth="1"/>
    <col min="267" max="267" width="10.33203125" style="48" customWidth="1"/>
    <col min="268" max="275" width="0" style="48" hidden="1" customWidth="1"/>
    <col min="276" max="276" width="19.1640625" style="48" customWidth="1"/>
    <col min="277" max="280" width="0" style="48" hidden="1" customWidth="1"/>
    <col min="281" max="281" width="15.6640625" style="48" bestFit="1" customWidth="1"/>
    <col min="282" max="516" width="15.33203125" style="48"/>
    <col min="517" max="517" width="48.5" style="48" customWidth="1"/>
    <col min="518" max="518" width="8.6640625" style="48" customWidth="1"/>
    <col min="519" max="519" width="8.1640625" style="48" customWidth="1"/>
    <col min="520" max="520" width="15.33203125" style="48" customWidth="1"/>
    <col min="521" max="521" width="5.33203125" style="48" customWidth="1"/>
    <col min="522" max="522" width="7" style="48" customWidth="1"/>
    <col min="523" max="523" width="10.33203125" style="48" customWidth="1"/>
    <col min="524" max="531" width="0" style="48" hidden="1" customWidth="1"/>
    <col min="532" max="532" width="19.1640625" style="48" customWidth="1"/>
    <col min="533" max="536" width="0" style="48" hidden="1" customWidth="1"/>
    <col min="537" max="537" width="15.6640625" style="48" bestFit="1" customWidth="1"/>
    <col min="538" max="772" width="15.33203125" style="48"/>
    <col min="773" max="773" width="48.5" style="48" customWidth="1"/>
    <col min="774" max="774" width="8.6640625" style="48" customWidth="1"/>
    <col min="775" max="775" width="8.1640625" style="48" customWidth="1"/>
    <col min="776" max="776" width="15.33203125" style="48" customWidth="1"/>
    <col min="777" max="777" width="5.33203125" style="48" customWidth="1"/>
    <col min="778" max="778" width="7" style="48" customWidth="1"/>
    <col min="779" max="779" width="10.33203125" style="48" customWidth="1"/>
    <col min="780" max="787" width="0" style="48" hidden="1" customWidth="1"/>
    <col min="788" max="788" width="19.1640625" style="48" customWidth="1"/>
    <col min="789" max="792" width="0" style="48" hidden="1" customWidth="1"/>
    <col min="793" max="793" width="15.6640625" style="48" bestFit="1" customWidth="1"/>
    <col min="794" max="1028" width="15.33203125" style="48"/>
    <col min="1029" max="1029" width="48.5" style="48" customWidth="1"/>
    <col min="1030" max="1030" width="8.6640625" style="48" customWidth="1"/>
    <col min="1031" max="1031" width="8.1640625" style="48" customWidth="1"/>
    <col min="1032" max="1032" width="15.33203125" style="48" customWidth="1"/>
    <col min="1033" max="1033" width="5.33203125" style="48" customWidth="1"/>
    <col min="1034" max="1034" width="7" style="48" customWidth="1"/>
    <col min="1035" max="1035" width="10.33203125" style="48" customWidth="1"/>
    <col min="1036" max="1043" width="0" style="48" hidden="1" customWidth="1"/>
    <col min="1044" max="1044" width="19.1640625" style="48" customWidth="1"/>
    <col min="1045" max="1048" width="0" style="48" hidden="1" customWidth="1"/>
    <col min="1049" max="1049" width="15.6640625" style="48" bestFit="1" customWidth="1"/>
    <col min="1050" max="1284" width="15.33203125" style="48"/>
    <col min="1285" max="1285" width="48.5" style="48" customWidth="1"/>
    <col min="1286" max="1286" width="8.6640625" style="48" customWidth="1"/>
    <col min="1287" max="1287" width="8.1640625" style="48" customWidth="1"/>
    <col min="1288" max="1288" width="15.33203125" style="48" customWidth="1"/>
    <col min="1289" max="1289" width="5.33203125" style="48" customWidth="1"/>
    <col min="1290" max="1290" width="7" style="48" customWidth="1"/>
    <col min="1291" max="1291" width="10.33203125" style="48" customWidth="1"/>
    <col min="1292" max="1299" width="0" style="48" hidden="1" customWidth="1"/>
    <col min="1300" max="1300" width="19.1640625" style="48" customWidth="1"/>
    <col min="1301" max="1304" width="0" style="48" hidden="1" customWidth="1"/>
    <col min="1305" max="1305" width="15.6640625" style="48" bestFit="1" customWidth="1"/>
    <col min="1306" max="1540" width="15.33203125" style="48"/>
    <col min="1541" max="1541" width="48.5" style="48" customWidth="1"/>
    <col min="1542" max="1542" width="8.6640625" style="48" customWidth="1"/>
    <col min="1543" max="1543" width="8.1640625" style="48" customWidth="1"/>
    <col min="1544" max="1544" width="15.33203125" style="48" customWidth="1"/>
    <col min="1545" max="1545" width="5.33203125" style="48" customWidth="1"/>
    <col min="1546" max="1546" width="7" style="48" customWidth="1"/>
    <col min="1547" max="1547" width="10.33203125" style="48" customWidth="1"/>
    <col min="1548" max="1555" width="0" style="48" hidden="1" customWidth="1"/>
    <col min="1556" max="1556" width="19.1640625" style="48" customWidth="1"/>
    <col min="1557" max="1560" width="0" style="48" hidden="1" customWidth="1"/>
    <col min="1561" max="1561" width="15.6640625" style="48" bestFit="1" customWidth="1"/>
    <col min="1562" max="1796" width="15.33203125" style="48"/>
    <col min="1797" max="1797" width="48.5" style="48" customWidth="1"/>
    <col min="1798" max="1798" width="8.6640625" style="48" customWidth="1"/>
    <col min="1799" max="1799" width="8.1640625" style="48" customWidth="1"/>
    <col min="1800" max="1800" width="15.33203125" style="48" customWidth="1"/>
    <col min="1801" max="1801" width="5.33203125" style="48" customWidth="1"/>
    <col min="1802" max="1802" width="7" style="48" customWidth="1"/>
    <col min="1803" max="1803" width="10.33203125" style="48" customWidth="1"/>
    <col min="1804" max="1811" width="0" style="48" hidden="1" customWidth="1"/>
    <col min="1812" max="1812" width="19.1640625" style="48" customWidth="1"/>
    <col min="1813" max="1816" width="0" style="48" hidden="1" customWidth="1"/>
    <col min="1817" max="1817" width="15.6640625" style="48" bestFit="1" customWidth="1"/>
    <col min="1818" max="2052" width="15.33203125" style="48"/>
    <col min="2053" max="2053" width="48.5" style="48" customWidth="1"/>
    <col min="2054" max="2054" width="8.6640625" style="48" customWidth="1"/>
    <col min="2055" max="2055" width="8.1640625" style="48" customWidth="1"/>
    <col min="2056" max="2056" width="15.33203125" style="48" customWidth="1"/>
    <col min="2057" max="2057" width="5.33203125" style="48" customWidth="1"/>
    <col min="2058" max="2058" width="7" style="48" customWidth="1"/>
    <col min="2059" max="2059" width="10.33203125" style="48" customWidth="1"/>
    <col min="2060" max="2067" width="0" style="48" hidden="1" customWidth="1"/>
    <col min="2068" max="2068" width="19.1640625" style="48" customWidth="1"/>
    <col min="2069" max="2072" width="0" style="48" hidden="1" customWidth="1"/>
    <col min="2073" max="2073" width="15.6640625" style="48" bestFit="1" customWidth="1"/>
    <col min="2074" max="2308" width="15.33203125" style="48"/>
    <col min="2309" max="2309" width="48.5" style="48" customWidth="1"/>
    <col min="2310" max="2310" width="8.6640625" style="48" customWidth="1"/>
    <col min="2311" max="2311" width="8.1640625" style="48" customWidth="1"/>
    <col min="2312" max="2312" width="15.33203125" style="48" customWidth="1"/>
    <col min="2313" max="2313" width="5.33203125" style="48" customWidth="1"/>
    <col min="2314" max="2314" width="7" style="48" customWidth="1"/>
    <col min="2315" max="2315" width="10.33203125" style="48" customWidth="1"/>
    <col min="2316" max="2323" width="0" style="48" hidden="1" customWidth="1"/>
    <col min="2324" max="2324" width="19.1640625" style="48" customWidth="1"/>
    <col min="2325" max="2328" width="0" style="48" hidden="1" customWidth="1"/>
    <col min="2329" max="2329" width="15.6640625" style="48" bestFit="1" customWidth="1"/>
    <col min="2330" max="2564" width="15.33203125" style="48"/>
    <col min="2565" max="2565" width="48.5" style="48" customWidth="1"/>
    <col min="2566" max="2566" width="8.6640625" style="48" customWidth="1"/>
    <col min="2567" max="2567" width="8.1640625" style="48" customWidth="1"/>
    <col min="2568" max="2568" width="15.33203125" style="48" customWidth="1"/>
    <col min="2569" max="2569" width="5.33203125" style="48" customWidth="1"/>
    <col min="2570" max="2570" width="7" style="48" customWidth="1"/>
    <col min="2571" max="2571" width="10.33203125" style="48" customWidth="1"/>
    <col min="2572" max="2579" width="0" style="48" hidden="1" customWidth="1"/>
    <col min="2580" max="2580" width="19.1640625" style="48" customWidth="1"/>
    <col min="2581" max="2584" width="0" style="48" hidden="1" customWidth="1"/>
    <col min="2585" max="2585" width="15.6640625" style="48" bestFit="1" customWidth="1"/>
    <col min="2586" max="2820" width="15.33203125" style="48"/>
    <col min="2821" max="2821" width="48.5" style="48" customWidth="1"/>
    <col min="2822" max="2822" width="8.6640625" style="48" customWidth="1"/>
    <col min="2823" max="2823" width="8.1640625" style="48" customWidth="1"/>
    <col min="2824" max="2824" width="15.33203125" style="48" customWidth="1"/>
    <col min="2825" max="2825" width="5.33203125" style="48" customWidth="1"/>
    <col min="2826" max="2826" width="7" style="48" customWidth="1"/>
    <col min="2827" max="2827" width="10.33203125" style="48" customWidth="1"/>
    <col min="2828" max="2835" width="0" style="48" hidden="1" customWidth="1"/>
    <col min="2836" max="2836" width="19.1640625" style="48" customWidth="1"/>
    <col min="2837" max="2840" width="0" style="48" hidden="1" customWidth="1"/>
    <col min="2841" max="2841" width="15.6640625" style="48" bestFit="1" customWidth="1"/>
    <col min="2842" max="3076" width="15.33203125" style="48"/>
    <col min="3077" max="3077" width="48.5" style="48" customWidth="1"/>
    <col min="3078" max="3078" width="8.6640625" style="48" customWidth="1"/>
    <col min="3079" max="3079" width="8.1640625" style="48" customWidth="1"/>
    <col min="3080" max="3080" width="15.33203125" style="48" customWidth="1"/>
    <col min="3081" max="3081" width="5.33203125" style="48" customWidth="1"/>
    <col min="3082" max="3082" width="7" style="48" customWidth="1"/>
    <col min="3083" max="3083" width="10.33203125" style="48" customWidth="1"/>
    <col min="3084" max="3091" width="0" style="48" hidden="1" customWidth="1"/>
    <col min="3092" max="3092" width="19.1640625" style="48" customWidth="1"/>
    <col min="3093" max="3096" width="0" style="48" hidden="1" customWidth="1"/>
    <col min="3097" max="3097" width="15.6640625" style="48" bestFit="1" customWidth="1"/>
    <col min="3098" max="3332" width="15.33203125" style="48"/>
    <col min="3333" max="3333" width="48.5" style="48" customWidth="1"/>
    <col min="3334" max="3334" width="8.6640625" style="48" customWidth="1"/>
    <col min="3335" max="3335" width="8.1640625" style="48" customWidth="1"/>
    <col min="3336" max="3336" width="15.33203125" style="48" customWidth="1"/>
    <col min="3337" max="3337" width="5.33203125" style="48" customWidth="1"/>
    <col min="3338" max="3338" width="7" style="48" customWidth="1"/>
    <col min="3339" max="3339" width="10.33203125" style="48" customWidth="1"/>
    <col min="3340" max="3347" width="0" style="48" hidden="1" customWidth="1"/>
    <col min="3348" max="3348" width="19.1640625" style="48" customWidth="1"/>
    <col min="3349" max="3352" width="0" style="48" hidden="1" customWidth="1"/>
    <col min="3353" max="3353" width="15.6640625" style="48" bestFit="1" customWidth="1"/>
    <col min="3354" max="3588" width="15.33203125" style="48"/>
    <col min="3589" max="3589" width="48.5" style="48" customWidth="1"/>
    <col min="3590" max="3590" width="8.6640625" style="48" customWidth="1"/>
    <col min="3591" max="3591" width="8.1640625" style="48" customWidth="1"/>
    <col min="3592" max="3592" width="15.33203125" style="48" customWidth="1"/>
    <col min="3593" max="3593" width="5.33203125" style="48" customWidth="1"/>
    <col min="3594" max="3594" width="7" style="48" customWidth="1"/>
    <col min="3595" max="3595" width="10.33203125" style="48" customWidth="1"/>
    <col min="3596" max="3603" width="0" style="48" hidden="1" customWidth="1"/>
    <col min="3604" max="3604" width="19.1640625" style="48" customWidth="1"/>
    <col min="3605" max="3608" width="0" style="48" hidden="1" customWidth="1"/>
    <col min="3609" max="3609" width="15.6640625" style="48" bestFit="1" customWidth="1"/>
    <col min="3610" max="3844" width="15.33203125" style="48"/>
    <col min="3845" max="3845" width="48.5" style="48" customWidth="1"/>
    <col min="3846" max="3846" width="8.6640625" style="48" customWidth="1"/>
    <col min="3847" max="3847" width="8.1640625" style="48" customWidth="1"/>
    <col min="3848" max="3848" width="15.33203125" style="48" customWidth="1"/>
    <col min="3849" max="3849" width="5.33203125" style="48" customWidth="1"/>
    <col min="3850" max="3850" width="7" style="48" customWidth="1"/>
    <col min="3851" max="3851" width="10.33203125" style="48" customWidth="1"/>
    <col min="3852" max="3859" width="0" style="48" hidden="1" customWidth="1"/>
    <col min="3860" max="3860" width="19.1640625" style="48" customWidth="1"/>
    <col min="3861" max="3864" width="0" style="48" hidden="1" customWidth="1"/>
    <col min="3865" max="3865" width="15.6640625" style="48" bestFit="1" customWidth="1"/>
    <col min="3866" max="4100" width="15.33203125" style="48"/>
    <col min="4101" max="4101" width="48.5" style="48" customWidth="1"/>
    <col min="4102" max="4102" width="8.6640625" style="48" customWidth="1"/>
    <col min="4103" max="4103" width="8.1640625" style="48" customWidth="1"/>
    <col min="4104" max="4104" width="15.33203125" style="48" customWidth="1"/>
    <col min="4105" max="4105" width="5.33203125" style="48" customWidth="1"/>
    <col min="4106" max="4106" width="7" style="48" customWidth="1"/>
    <col min="4107" max="4107" width="10.33203125" style="48" customWidth="1"/>
    <col min="4108" max="4115" width="0" style="48" hidden="1" customWidth="1"/>
    <col min="4116" max="4116" width="19.1640625" style="48" customWidth="1"/>
    <col min="4117" max="4120" width="0" style="48" hidden="1" customWidth="1"/>
    <col min="4121" max="4121" width="15.6640625" style="48" bestFit="1" customWidth="1"/>
    <col min="4122" max="4356" width="15.33203125" style="48"/>
    <col min="4357" max="4357" width="48.5" style="48" customWidth="1"/>
    <col min="4358" max="4358" width="8.6640625" style="48" customWidth="1"/>
    <col min="4359" max="4359" width="8.1640625" style="48" customWidth="1"/>
    <col min="4360" max="4360" width="15.33203125" style="48" customWidth="1"/>
    <col min="4361" max="4361" width="5.33203125" style="48" customWidth="1"/>
    <col min="4362" max="4362" width="7" style="48" customWidth="1"/>
    <col min="4363" max="4363" width="10.33203125" style="48" customWidth="1"/>
    <col min="4364" max="4371" width="0" style="48" hidden="1" customWidth="1"/>
    <col min="4372" max="4372" width="19.1640625" style="48" customWidth="1"/>
    <col min="4373" max="4376" width="0" style="48" hidden="1" customWidth="1"/>
    <col min="4377" max="4377" width="15.6640625" style="48" bestFit="1" customWidth="1"/>
    <col min="4378" max="4612" width="15.33203125" style="48"/>
    <col min="4613" max="4613" width="48.5" style="48" customWidth="1"/>
    <col min="4614" max="4614" width="8.6640625" style="48" customWidth="1"/>
    <col min="4615" max="4615" width="8.1640625" style="48" customWidth="1"/>
    <col min="4616" max="4616" width="15.33203125" style="48" customWidth="1"/>
    <col min="4617" max="4617" width="5.33203125" style="48" customWidth="1"/>
    <col min="4618" max="4618" width="7" style="48" customWidth="1"/>
    <col min="4619" max="4619" width="10.33203125" style="48" customWidth="1"/>
    <col min="4620" max="4627" width="0" style="48" hidden="1" customWidth="1"/>
    <col min="4628" max="4628" width="19.1640625" style="48" customWidth="1"/>
    <col min="4629" max="4632" width="0" style="48" hidden="1" customWidth="1"/>
    <col min="4633" max="4633" width="15.6640625" style="48" bestFit="1" customWidth="1"/>
    <col min="4634" max="4868" width="15.33203125" style="48"/>
    <col min="4869" max="4869" width="48.5" style="48" customWidth="1"/>
    <col min="4870" max="4870" width="8.6640625" style="48" customWidth="1"/>
    <col min="4871" max="4871" width="8.1640625" style="48" customWidth="1"/>
    <col min="4872" max="4872" width="15.33203125" style="48" customWidth="1"/>
    <col min="4873" max="4873" width="5.33203125" style="48" customWidth="1"/>
    <col min="4874" max="4874" width="7" style="48" customWidth="1"/>
    <col min="4875" max="4875" width="10.33203125" style="48" customWidth="1"/>
    <col min="4876" max="4883" width="0" style="48" hidden="1" customWidth="1"/>
    <col min="4884" max="4884" width="19.1640625" style="48" customWidth="1"/>
    <col min="4885" max="4888" width="0" style="48" hidden="1" customWidth="1"/>
    <col min="4889" max="4889" width="15.6640625" style="48" bestFit="1" customWidth="1"/>
    <col min="4890" max="5124" width="15.33203125" style="48"/>
    <col min="5125" max="5125" width="48.5" style="48" customWidth="1"/>
    <col min="5126" max="5126" width="8.6640625" style="48" customWidth="1"/>
    <col min="5127" max="5127" width="8.1640625" style="48" customWidth="1"/>
    <col min="5128" max="5128" width="15.33203125" style="48" customWidth="1"/>
    <col min="5129" max="5129" width="5.33203125" style="48" customWidth="1"/>
    <col min="5130" max="5130" width="7" style="48" customWidth="1"/>
    <col min="5131" max="5131" width="10.33203125" style="48" customWidth="1"/>
    <col min="5132" max="5139" width="0" style="48" hidden="1" customWidth="1"/>
    <col min="5140" max="5140" width="19.1640625" style="48" customWidth="1"/>
    <col min="5141" max="5144" width="0" style="48" hidden="1" customWidth="1"/>
    <col min="5145" max="5145" width="15.6640625" style="48" bestFit="1" customWidth="1"/>
    <col min="5146" max="5380" width="15.33203125" style="48"/>
    <col min="5381" max="5381" width="48.5" style="48" customWidth="1"/>
    <col min="5382" max="5382" width="8.6640625" style="48" customWidth="1"/>
    <col min="5383" max="5383" width="8.1640625" style="48" customWidth="1"/>
    <col min="5384" max="5384" width="15.33203125" style="48" customWidth="1"/>
    <col min="5385" max="5385" width="5.33203125" style="48" customWidth="1"/>
    <col min="5386" max="5386" width="7" style="48" customWidth="1"/>
    <col min="5387" max="5387" width="10.33203125" style="48" customWidth="1"/>
    <col min="5388" max="5395" width="0" style="48" hidden="1" customWidth="1"/>
    <col min="5396" max="5396" width="19.1640625" style="48" customWidth="1"/>
    <col min="5397" max="5400" width="0" style="48" hidden="1" customWidth="1"/>
    <col min="5401" max="5401" width="15.6640625" style="48" bestFit="1" customWidth="1"/>
    <col min="5402" max="5636" width="15.33203125" style="48"/>
    <col min="5637" max="5637" width="48.5" style="48" customWidth="1"/>
    <col min="5638" max="5638" width="8.6640625" style="48" customWidth="1"/>
    <col min="5639" max="5639" width="8.1640625" style="48" customWidth="1"/>
    <col min="5640" max="5640" width="15.33203125" style="48" customWidth="1"/>
    <col min="5641" max="5641" width="5.33203125" style="48" customWidth="1"/>
    <col min="5642" max="5642" width="7" style="48" customWidth="1"/>
    <col min="5643" max="5643" width="10.33203125" style="48" customWidth="1"/>
    <col min="5644" max="5651" width="0" style="48" hidden="1" customWidth="1"/>
    <col min="5652" max="5652" width="19.1640625" style="48" customWidth="1"/>
    <col min="5653" max="5656" width="0" style="48" hidden="1" customWidth="1"/>
    <col min="5657" max="5657" width="15.6640625" style="48" bestFit="1" customWidth="1"/>
    <col min="5658" max="5892" width="15.33203125" style="48"/>
    <col min="5893" max="5893" width="48.5" style="48" customWidth="1"/>
    <col min="5894" max="5894" width="8.6640625" style="48" customWidth="1"/>
    <col min="5895" max="5895" width="8.1640625" style="48" customWidth="1"/>
    <col min="5896" max="5896" width="15.33203125" style="48" customWidth="1"/>
    <col min="5897" max="5897" width="5.33203125" style="48" customWidth="1"/>
    <col min="5898" max="5898" width="7" style="48" customWidth="1"/>
    <col min="5899" max="5899" width="10.33203125" style="48" customWidth="1"/>
    <col min="5900" max="5907" width="0" style="48" hidden="1" customWidth="1"/>
    <col min="5908" max="5908" width="19.1640625" style="48" customWidth="1"/>
    <col min="5909" max="5912" width="0" style="48" hidden="1" customWidth="1"/>
    <col min="5913" max="5913" width="15.6640625" style="48" bestFit="1" customWidth="1"/>
    <col min="5914" max="6148" width="15.33203125" style="48"/>
    <col min="6149" max="6149" width="48.5" style="48" customWidth="1"/>
    <col min="6150" max="6150" width="8.6640625" style="48" customWidth="1"/>
    <col min="6151" max="6151" width="8.1640625" style="48" customWidth="1"/>
    <col min="6152" max="6152" width="15.33203125" style="48" customWidth="1"/>
    <col min="6153" max="6153" width="5.33203125" style="48" customWidth="1"/>
    <col min="6154" max="6154" width="7" style="48" customWidth="1"/>
    <col min="6155" max="6155" width="10.33203125" style="48" customWidth="1"/>
    <col min="6156" max="6163" width="0" style="48" hidden="1" customWidth="1"/>
    <col min="6164" max="6164" width="19.1640625" style="48" customWidth="1"/>
    <col min="6165" max="6168" width="0" style="48" hidden="1" customWidth="1"/>
    <col min="6169" max="6169" width="15.6640625" style="48" bestFit="1" customWidth="1"/>
    <col min="6170" max="6404" width="15.33203125" style="48"/>
    <col min="6405" max="6405" width="48.5" style="48" customWidth="1"/>
    <col min="6406" max="6406" width="8.6640625" style="48" customWidth="1"/>
    <col min="6407" max="6407" width="8.1640625" style="48" customWidth="1"/>
    <col min="6408" max="6408" width="15.33203125" style="48" customWidth="1"/>
    <col min="6409" max="6409" width="5.33203125" style="48" customWidth="1"/>
    <col min="6410" max="6410" width="7" style="48" customWidth="1"/>
    <col min="6411" max="6411" width="10.33203125" style="48" customWidth="1"/>
    <col min="6412" max="6419" width="0" style="48" hidden="1" customWidth="1"/>
    <col min="6420" max="6420" width="19.1640625" style="48" customWidth="1"/>
    <col min="6421" max="6424" width="0" style="48" hidden="1" customWidth="1"/>
    <col min="6425" max="6425" width="15.6640625" style="48" bestFit="1" customWidth="1"/>
    <col min="6426" max="6660" width="15.33203125" style="48"/>
    <col min="6661" max="6661" width="48.5" style="48" customWidth="1"/>
    <col min="6662" max="6662" width="8.6640625" style="48" customWidth="1"/>
    <col min="6663" max="6663" width="8.1640625" style="48" customWidth="1"/>
    <col min="6664" max="6664" width="15.33203125" style="48" customWidth="1"/>
    <col min="6665" max="6665" width="5.33203125" style="48" customWidth="1"/>
    <col min="6666" max="6666" width="7" style="48" customWidth="1"/>
    <col min="6667" max="6667" width="10.33203125" style="48" customWidth="1"/>
    <col min="6668" max="6675" width="0" style="48" hidden="1" customWidth="1"/>
    <col min="6676" max="6676" width="19.1640625" style="48" customWidth="1"/>
    <col min="6677" max="6680" width="0" style="48" hidden="1" customWidth="1"/>
    <col min="6681" max="6681" width="15.6640625" style="48" bestFit="1" customWidth="1"/>
    <col min="6682" max="6916" width="15.33203125" style="48"/>
    <col min="6917" max="6917" width="48.5" style="48" customWidth="1"/>
    <col min="6918" max="6918" width="8.6640625" style="48" customWidth="1"/>
    <col min="6919" max="6919" width="8.1640625" style="48" customWidth="1"/>
    <col min="6920" max="6920" width="15.33203125" style="48" customWidth="1"/>
    <col min="6921" max="6921" width="5.33203125" style="48" customWidth="1"/>
    <col min="6922" max="6922" width="7" style="48" customWidth="1"/>
    <col min="6923" max="6923" width="10.33203125" style="48" customWidth="1"/>
    <col min="6924" max="6931" width="0" style="48" hidden="1" customWidth="1"/>
    <col min="6932" max="6932" width="19.1640625" style="48" customWidth="1"/>
    <col min="6933" max="6936" width="0" style="48" hidden="1" customWidth="1"/>
    <col min="6937" max="6937" width="15.6640625" style="48" bestFit="1" customWidth="1"/>
    <col min="6938" max="7172" width="15.33203125" style="48"/>
    <col min="7173" max="7173" width="48.5" style="48" customWidth="1"/>
    <col min="7174" max="7174" width="8.6640625" style="48" customWidth="1"/>
    <col min="7175" max="7175" width="8.1640625" style="48" customWidth="1"/>
    <col min="7176" max="7176" width="15.33203125" style="48" customWidth="1"/>
    <col min="7177" max="7177" width="5.33203125" style="48" customWidth="1"/>
    <col min="7178" max="7178" width="7" style="48" customWidth="1"/>
    <col min="7179" max="7179" width="10.33203125" style="48" customWidth="1"/>
    <col min="7180" max="7187" width="0" style="48" hidden="1" customWidth="1"/>
    <col min="7188" max="7188" width="19.1640625" style="48" customWidth="1"/>
    <col min="7189" max="7192" width="0" style="48" hidden="1" customWidth="1"/>
    <col min="7193" max="7193" width="15.6640625" style="48" bestFit="1" customWidth="1"/>
    <col min="7194" max="7428" width="15.33203125" style="48"/>
    <col min="7429" max="7429" width="48.5" style="48" customWidth="1"/>
    <col min="7430" max="7430" width="8.6640625" style="48" customWidth="1"/>
    <col min="7431" max="7431" width="8.1640625" style="48" customWidth="1"/>
    <col min="7432" max="7432" width="15.33203125" style="48" customWidth="1"/>
    <col min="7433" max="7433" width="5.33203125" style="48" customWidth="1"/>
    <col min="7434" max="7434" width="7" style="48" customWidth="1"/>
    <col min="7435" max="7435" width="10.33203125" style="48" customWidth="1"/>
    <col min="7436" max="7443" width="0" style="48" hidden="1" customWidth="1"/>
    <col min="7444" max="7444" width="19.1640625" style="48" customWidth="1"/>
    <col min="7445" max="7448" width="0" style="48" hidden="1" customWidth="1"/>
    <col min="7449" max="7449" width="15.6640625" style="48" bestFit="1" customWidth="1"/>
    <col min="7450" max="7684" width="15.33203125" style="48"/>
    <col min="7685" max="7685" width="48.5" style="48" customWidth="1"/>
    <col min="7686" max="7686" width="8.6640625" style="48" customWidth="1"/>
    <col min="7687" max="7687" width="8.1640625" style="48" customWidth="1"/>
    <col min="7688" max="7688" width="15.33203125" style="48" customWidth="1"/>
    <col min="7689" max="7689" width="5.33203125" style="48" customWidth="1"/>
    <col min="7690" max="7690" width="7" style="48" customWidth="1"/>
    <col min="7691" max="7691" width="10.33203125" style="48" customWidth="1"/>
    <col min="7692" max="7699" width="0" style="48" hidden="1" customWidth="1"/>
    <col min="7700" max="7700" width="19.1640625" style="48" customWidth="1"/>
    <col min="7701" max="7704" width="0" style="48" hidden="1" customWidth="1"/>
    <col min="7705" max="7705" width="15.6640625" style="48" bestFit="1" customWidth="1"/>
    <col min="7706" max="7940" width="15.33203125" style="48"/>
    <col min="7941" max="7941" width="48.5" style="48" customWidth="1"/>
    <col min="7942" max="7942" width="8.6640625" style="48" customWidth="1"/>
    <col min="7943" max="7943" width="8.1640625" style="48" customWidth="1"/>
    <col min="7944" max="7944" width="15.33203125" style="48" customWidth="1"/>
    <col min="7945" max="7945" width="5.33203125" style="48" customWidth="1"/>
    <col min="7946" max="7946" width="7" style="48" customWidth="1"/>
    <col min="7947" max="7947" width="10.33203125" style="48" customWidth="1"/>
    <col min="7948" max="7955" width="0" style="48" hidden="1" customWidth="1"/>
    <col min="7956" max="7956" width="19.1640625" style="48" customWidth="1"/>
    <col min="7957" max="7960" width="0" style="48" hidden="1" customWidth="1"/>
    <col min="7961" max="7961" width="15.6640625" style="48" bestFit="1" customWidth="1"/>
    <col min="7962" max="8196" width="15.33203125" style="48"/>
    <col min="8197" max="8197" width="48.5" style="48" customWidth="1"/>
    <col min="8198" max="8198" width="8.6640625" style="48" customWidth="1"/>
    <col min="8199" max="8199" width="8.1640625" style="48" customWidth="1"/>
    <col min="8200" max="8200" width="15.33203125" style="48" customWidth="1"/>
    <col min="8201" max="8201" width="5.33203125" style="48" customWidth="1"/>
    <col min="8202" max="8202" width="7" style="48" customWidth="1"/>
    <col min="8203" max="8203" width="10.33203125" style="48" customWidth="1"/>
    <col min="8204" max="8211" width="0" style="48" hidden="1" customWidth="1"/>
    <col min="8212" max="8212" width="19.1640625" style="48" customWidth="1"/>
    <col min="8213" max="8216" width="0" style="48" hidden="1" customWidth="1"/>
    <col min="8217" max="8217" width="15.6640625" style="48" bestFit="1" customWidth="1"/>
    <col min="8218" max="8452" width="15.33203125" style="48"/>
    <col min="8453" max="8453" width="48.5" style="48" customWidth="1"/>
    <col min="8454" max="8454" width="8.6640625" style="48" customWidth="1"/>
    <col min="8455" max="8455" width="8.1640625" style="48" customWidth="1"/>
    <col min="8456" max="8456" width="15.33203125" style="48" customWidth="1"/>
    <col min="8457" max="8457" width="5.33203125" style="48" customWidth="1"/>
    <col min="8458" max="8458" width="7" style="48" customWidth="1"/>
    <col min="8459" max="8459" width="10.33203125" style="48" customWidth="1"/>
    <col min="8460" max="8467" width="0" style="48" hidden="1" customWidth="1"/>
    <col min="8468" max="8468" width="19.1640625" style="48" customWidth="1"/>
    <col min="8469" max="8472" width="0" style="48" hidden="1" customWidth="1"/>
    <col min="8473" max="8473" width="15.6640625" style="48" bestFit="1" customWidth="1"/>
    <col min="8474" max="8708" width="15.33203125" style="48"/>
    <col min="8709" max="8709" width="48.5" style="48" customWidth="1"/>
    <col min="8710" max="8710" width="8.6640625" style="48" customWidth="1"/>
    <col min="8711" max="8711" width="8.1640625" style="48" customWidth="1"/>
    <col min="8712" max="8712" width="15.33203125" style="48" customWidth="1"/>
    <col min="8713" max="8713" width="5.33203125" style="48" customWidth="1"/>
    <col min="8714" max="8714" width="7" style="48" customWidth="1"/>
    <col min="8715" max="8715" width="10.33203125" style="48" customWidth="1"/>
    <col min="8716" max="8723" width="0" style="48" hidden="1" customWidth="1"/>
    <col min="8724" max="8724" width="19.1640625" style="48" customWidth="1"/>
    <col min="8725" max="8728" width="0" style="48" hidden="1" customWidth="1"/>
    <col min="8729" max="8729" width="15.6640625" style="48" bestFit="1" customWidth="1"/>
    <col min="8730" max="8964" width="15.33203125" style="48"/>
    <col min="8965" max="8965" width="48.5" style="48" customWidth="1"/>
    <col min="8966" max="8966" width="8.6640625" style="48" customWidth="1"/>
    <col min="8967" max="8967" width="8.1640625" style="48" customWidth="1"/>
    <col min="8968" max="8968" width="15.33203125" style="48" customWidth="1"/>
    <col min="8969" max="8969" width="5.33203125" style="48" customWidth="1"/>
    <col min="8970" max="8970" width="7" style="48" customWidth="1"/>
    <col min="8971" max="8971" width="10.33203125" style="48" customWidth="1"/>
    <col min="8972" max="8979" width="0" style="48" hidden="1" customWidth="1"/>
    <col min="8980" max="8980" width="19.1640625" style="48" customWidth="1"/>
    <col min="8981" max="8984" width="0" style="48" hidden="1" customWidth="1"/>
    <col min="8985" max="8985" width="15.6640625" style="48" bestFit="1" customWidth="1"/>
    <col min="8986" max="9220" width="15.33203125" style="48"/>
    <col min="9221" max="9221" width="48.5" style="48" customWidth="1"/>
    <col min="9222" max="9222" width="8.6640625" style="48" customWidth="1"/>
    <col min="9223" max="9223" width="8.1640625" style="48" customWidth="1"/>
    <col min="9224" max="9224" width="15.33203125" style="48" customWidth="1"/>
    <col min="9225" max="9225" width="5.33203125" style="48" customWidth="1"/>
    <col min="9226" max="9226" width="7" style="48" customWidth="1"/>
    <col min="9227" max="9227" width="10.33203125" style="48" customWidth="1"/>
    <col min="9228" max="9235" width="0" style="48" hidden="1" customWidth="1"/>
    <col min="9236" max="9236" width="19.1640625" style="48" customWidth="1"/>
    <col min="9237" max="9240" width="0" style="48" hidden="1" customWidth="1"/>
    <col min="9241" max="9241" width="15.6640625" style="48" bestFit="1" customWidth="1"/>
    <col min="9242" max="9476" width="15.33203125" style="48"/>
    <col min="9477" max="9477" width="48.5" style="48" customWidth="1"/>
    <col min="9478" max="9478" width="8.6640625" style="48" customWidth="1"/>
    <col min="9479" max="9479" width="8.1640625" style="48" customWidth="1"/>
    <col min="9480" max="9480" width="15.33203125" style="48" customWidth="1"/>
    <col min="9481" max="9481" width="5.33203125" style="48" customWidth="1"/>
    <col min="9482" max="9482" width="7" style="48" customWidth="1"/>
    <col min="9483" max="9483" width="10.33203125" style="48" customWidth="1"/>
    <col min="9484" max="9491" width="0" style="48" hidden="1" customWidth="1"/>
    <col min="9492" max="9492" width="19.1640625" style="48" customWidth="1"/>
    <col min="9493" max="9496" width="0" style="48" hidden="1" customWidth="1"/>
    <col min="9497" max="9497" width="15.6640625" style="48" bestFit="1" customWidth="1"/>
    <col min="9498" max="9732" width="15.33203125" style="48"/>
    <col min="9733" max="9733" width="48.5" style="48" customWidth="1"/>
    <col min="9734" max="9734" width="8.6640625" style="48" customWidth="1"/>
    <col min="9735" max="9735" width="8.1640625" style="48" customWidth="1"/>
    <col min="9736" max="9736" width="15.33203125" style="48" customWidth="1"/>
    <col min="9737" max="9737" width="5.33203125" style="48" customWidth="1"/>
    <col min="9738" max="9738" width="7" style="48" customWidth="1"/>
    <col min="9739" max="9739" width="10.33203125" style="48" customWidth="1"/>
    <col min="9740" max="9747" width="0" style="48" hidden="1" customWidth="1"/>
    <col min="9748" max="9748" width="19.1640625" style="48" customWidth="1"/>
    <col min="9749" max="9752" width="0" style="48" hidden="1" customWidth="1"/>
    <col min="9753" max="9753" width="15.6640625" style="48" bestFit="1" customWidth="1"/>
    <col min="9754" max="9988" width="15.33203125" style="48"/>
    <col min="9989" max="9989" width="48.5" style="48" customWidth="1"/>
    <col min="9990" max="9990" width="8.6640625" style="48" customWidth="1"/>
    <col min="9991" max="9991" width="8.1640625" style="48" customWidth="1"/>
    <col min="9992" max="9992" width="15.33203125" style="48" customWidth="1"/>
    <col min="9993" max="9993" width="5.33203125" style="48" customWidth="1"/>
    <col min="9994" max="9994" width="7" style="48" customWidth="1"/>
    <col min="9995" max="9995" width="10.33203125" style="48" customWidth="1"/>
    <col min="9996" max="10003" width="0" style="48" hidden="1" customWidth="1"/>
    <col min="10004" max="10004" width="19.1640625" style="48" customWidth="1"/>
    <col min="10005" max="10008" width="0" style="48" hidden="1" customWidth="1"/>
    <col min="10009" max="10009" width="15.6640625" style="48" bestFit="1" customWidth="1"/>
    <col min="10010" max="10244" width="15.33203125" style="48"/>
    <col min="10245" max="10245" width="48.5" style="48" customWidth="1"/>
    <col min="10246" max="10246" width="8.6640625" style="48" customWidth="1"/>
    <col min="10247" max="10247" width="8.1640625" style="48" customWidth="1"/>
    <col min="10248" max="10248" width="15.33203125" style="48" customWidth="1"/>
    <col min="10249" max="10249" width="5.33203125" style="48" customWidth="1"/>
    <col min="10250" max="10250" width="7" style="48" customWidth="1"/>
    <col min="10251" max="10251" width="10.33203125" style="48" customWidth="1"/>
    <col min="10252" max="10259" width="0" style="48" hidden="1" customWidth="1"/>
    <col min="10260" max="10260" width="19.1640625" style="48" customWidth="1"/>
    <col min="10261" max="10264" width="0" style="48" hidden="1" customWidth="1"/>
    <col min="10265" max="10265" width="15.6640625" style="48" bestFit="1" customWidth="1"/>
    <col min="10266" max="10500" width="15.33203125" style="48"/>
    <col min="10501" max="10501" width="48.5" style="48" customWidth="1"/>
    <col min="10502" max="10502" width="8.6640625" style="48" customWidth="1"/>
    <col min="10503" max="10503" width="8.1640625" style="48" customWidth="1"/>
    <col min="10504" max="10504" width="15.33203125" style="48" customWidth="1"/>
    <col min="10505" max="10505" width="5.33203125" style="48" customWidth="1"/>
    <col min="10506" max="10506" width="7" style="48" customWidth="1"/>
    <col min="10507" max="10507" width="10.33203125" style="48" customWidth="1"/>
    <col min="10508" max="10515" width="0" style="48" hidden="1" customWidth="1"/>
    <col min="10516" max="10516" width="19.1640625" style="48" customWidth="1"/>
    <col min="10517" max="10520" width="0" style="48" hidden="1" customWidth="1"/>
    <col min="10521" max="10521" width="15.6640625" style="48" bestFit="1" customWidth="1"/>
    <col min="10522" max="10756" width="15.33203125" style="48"/>
    <col min="10757" max="10757" width="48.5" style="48" customWidth="1"/>
    <col min="10758" max="10758" width="8.6640625" style="48" customWidth="1"/>
    <col min="10759" max="10759" width="8.1640625" style="48" customWidth="1"/>
    <col min="10760" max="10760" width="15.33203125" style="48" customWidth="1"/>
    <col min="10761" max="10761" width="5.33203125" style="48" customWidth="1"/>
    <col min="10762" max="10762" width="7" style="48" customWidth="1"/>
    <col min="10763" max="10763" width="10.33203125" style="48" customWidth="1"/>
    <col min="10764" max="10771" width="0" style="48" hidden="1" customWidth="1"/>
    <col min="10772" max="10772" width="19.1640625" style="48" customWidth="1"/>
    <col min="10773" max="10776" width="0" style="48" hidden="1" customWidth="1"/>
    <col min="10777" max="10777" width="15.6640625" style="48" bestFit="1" customWidth="1"/>
    <col min="10778" max="11012" width="15.33203125" style="48"/>
    <col min="11013" max="11013" width="48.5" style="48" customWidth="1"/>
    <col min="11014" max="11014" width="8.6640625" style="48" customWidth="1"/>
    <col min="11015" max="11015" width="8.1640625" style="48" customWidth="1"/>
    <col min="11016" max="11016" width="15.33203125" style="48" customWidth="1"/>
    <col min="11017" max="11017" width="5.33203125" style="48" customWidth="1"/>
    <col min="11018" max="11018" width="7" style="48" customWidth="1"/>
    <col min="11019" max="11019" width="10.33203125" style="48" customWidth="1"/>
    <col min="11020" max="11027" width="0" style="48" hidden="1" customWidth="1"/>
    <col min="11028" max="11028" width="19.1640625" style="48" customWidth="1"/>
    <col min="11029" max="11032" width="0" style="48" hidden="1" customWidth="1"/>
    <col min="11033" max="11033" width="15.6640625" style="48" bestFit="1" customWidth="1"/>
    <col min="11034" max="11268" width="15.33203125" style="48"/>
    <col min="11269" max="11269" width="48.5" style="48" customWidth="1"/>
    <col min="11270" max="11270" width="8.6640625" style="48" customWidth="1"/>
    <col min="11271" max="11271" width="8.1640625" style="48" customWidth="1"/>
    <col min="11272" max="11272" width="15.33203125" style="48" customWidth="1"/>
    <col min="11273" max="11273" width="5.33203125" style="48" customWidth="1"/>
    <col min="11274" max="11274" width="7" style="48" customWidth="1"/>
    <col min="11275" max="11275" width="10.33203125" style="48" customWidth="1"/>
    <col min="11276" max="11283" width="0" style="48" hidden="1" customWidth="1"/>
    <col min="11284" max="11284" width="19.1640625" style="48" customWidth="1"/>
    <col min="11285" max="11288" width="0" style="48" hidden="1" customWidth="1"/>
    <col min="11289" max="11289" width="15.6640625" style="48" bestFit="1" customWidth="1"/>
    <col min="11290" max="11524" width="15.33203125" style="48"/>
    <col min="11525" max="11525" width="48.5" style="48" customWidth="1"/>
    <col min="11526" max="11526" width="8.6640625" style="48" customWidth="1"/>
    <col min="11527" max="11527" width="8.1640625" style="48" customWidth="1"/>
    <col min="11528" max="11528" width="15.33203125" style="48" customWidth="1"/>
    <col min="11529" max="11529" width="5.33203125" style="48" customWidth="1"/>
    <col min="11530" max="11530" width="7" style="48" customWidth="1"/>
    <col min="11531" max="11531" width="10.33203125" style="48" customWidth="1"/>
    <col min="11532" max="11539" width="0" style="48" hidden="1" customWidth="1"/>
    <col min="11540" max="11540" width="19.1640625" style="48" customWidth="1"/>
    <col min="11541" max="11544" width="0" style="48" hidden="1" customWidth="1"/>
    <col min="11545" max="11545" width="15.6640625" style="48" bestFit="1" customWidth="1"/>
    <col min="11546" max="11780" width="15.33203125" style="48"/>
    <col min="11781" max="11781" width="48.5" style="48" customWidth="1"/>
    <col min="11782" max="11782" width="8.6640625" style="48" customWidth="1"/>
    <col min="11783" max="11783" width="8.1640625" style="48" customWidth="1"/>
    <col min="11784" max="11784" width="15.33203125" style="48" customWidth="1"/>
    <col min="11785" max="11785" width="5.33203125" style="48" customWidth="1"/>
    <col min="11786" max="11786" width="7" style="48" customWidth="1"/>
    <col min="11787" max="11787" width="10.33203125" style="48" customWidth="1"/>
    <col min="11788" max="11795" width="0" style="48" hidden="1" customWidth="1"/>
    <col min="11796" max="11796" width="19.1640625" style="48" customWidth="1"/>
    <col min="11797" max="11800" width="0" style="48" hidden="1" customWidth="1"/>
    <col min="11801" max="11801" width="15.6640625" style="48" bestFit="1" customWidth="1"/>
    <col min="11802" max="12036" width="15.33203125" style="48"/>
    <col min="12037" max="12037" width="48.5" style="48" customWidth="1"/>
    <col min="12038" max="12038" width="8.6640625" style="48" customWidth="1"/>
    <col min="12039" max="12039" width="8.1640625" style="48" customWidth="1"/>
    <col min="12040" max="12040" width="15.33203125" style="48" customWidth="1"/>
    <col min="12041" max="12041" width="5.33203125" style="48" customWidth="1"/>
    <col min="12042" max="12042" width="7" style="48" customWidth="1"/>
    <col min="12043" max="12043" width="10.33203125" style="48" customWidth="1"/>
    <col min="12044" max="12051" width="0" style="48" hidden="1" customWidth="1"/>
    <col min="12052" max="12052" width="19.1640625" style="48" customWidth="1"/>
    <col min="12053" max="12056" width="0" style="48" hidden="1" customWidth="1"/>
    <col min="12057" max="12057" width="15.6640625" style="48" bestFit="1" customWidth="1"/>
    <col min="12058" max="12292" width="15.33203125" style="48"/>
    <col min="12293" max="12293" width="48.5" style="48" customWidth="1"/>
    <col min="12294" max="12294" width="8.6640625" style="48" customWidth="1"/>
    <col min="12295" max="12295" width="8.1640625" style="48" customWidth="1"/>
    <col min="12296" max="12296" width="15.33203125" style="48" customWidth="1"/>
    <col min="12297" max="12297" width="5.33203125" style="48" customWidth="1"/>
    <col min="12298" max="12298" width="7" style="48" customWidth="1"/>
    <col min="12299" max="12299" width="10.33203125" style="48" customWidth="1"/>
    <col min="12300" max="12307" width="0" style="48" hidden="1" customWidth="1"/>
    <col min="12308" max="12308" width="19.1640625" style="48" customWidth="1"/>
    <col min="12309" max="12312" width="0" style="48" hidden="1" customWidth="1"/>
    <col min="12313" max="12313" width="15.6640625" style="48" bestFit="1" customWidth="1"/>
    <col min="12314" max="12548" width="15.33203125" style="48"/>
    <col min="12549" max="12549" width="48.5" style="48" customWidth="1"/>
    <col min="12550" max="12550" width="8.6640625" style="48" customWidth="1"/>
    <col min="12551" max="12551" width="8.1640625" style="48" customWidth="1"/>
    <col min="12552" max="12552" width="15.33203125" style="48" customWidth="1"/>
    <col min="12553" max="12553" width="5.33203125" style="48" customWidth="1"/>
    <col min="12554" max="12554" width="7" style="48" customWidth="1"/>
    <col min="12555" max="12555" width="10.33203125" style="48" customWidth="1"/>
    <col min="12556" max="12563" width="0" style="48" hidden="1" customWidth="1"/>
    <col min="12564" max="12564" width="19.1640625" style="48" customWidth="1"/>
    <col min="12565" max="12568" width="0" style="48" hidden="1" customWidth="1"/>
    <col min="12569" max="12569" width="15.6640625" style="48" bestFit="1" customWidth="1"/>
    <col min="12570" max="12804" width="15.33203125" style="48"/>
    <col min="12805" max="12805" width="48.5" style="48" customWidth="1"/>
    <col min="12806" max="12806" width="8.6640625" style="48" customWidth="1"/>
    <col min="12807" max="12807" width="8.1640625" style="48" customWidth="1"/>
    <col min="12808" max="12808" width="15.33203125" style="48" customWidth="1"/>
    <col min="12809" max="12809" width="5.33203125" style="48" customWidth="1"/>
    <col min="12810" max="12810" width="7" style="48" customWidth="1"/>
    <col min="12811" max="12811" width="10.33203125" style="48" customWidth="1"/>
    <col min="12812" max="12819" width="0" style="48" hidden="1" customWidth="1"/>
    <col min="12820" max="12820" width="19.1640625" style="48" customWidth="1"/>
    <col min="12821" max="12824" width="0" style="48" hidden="1" customWidth="1"/>
    <col min="12825" max="12825" width="15.6640625" style="48" bestFit="1" customWidth="1"/>
    <col min="12826" max="13060" width="15.33203125" style="48"/>
    <col min="13061" max="13061" width="48.5" style="48" customWidth="1"/>
    <col min="13062" max="13062" width="8.6640625" style="48" customWidth="1"/>
    <col min="13063" max="13063" width="8.1640625" style="48" customWidth="1"/>
    <col min="13064" max="13064" width="15.33203125" style="48" customWidth="1"/>
    <col min="13065" max="13065" width="5.33203125" style="48" customWidth="1"/>
    <col min="13066" max="13066" width="7" style="48" customWidth="1"/>
    <col min="13067" max="13067" width="10.33203125" style="48" customWidth="1"/>
    <col min="13068" max="13075" width="0" style="48" hidden="1" customWidth="1"/>
    <col min="13076" max="13076" width="19.1640625" style="48" customWidth="1"/>
    <col min="13077" max="13080" width="0" style="48" hidden="1" customWidth="1"/>
    <col min="13081" max="13081" width="15.6640625" style="48" bestFit="1" customWidth="1"/>
    <col min="13082" max="13316" width="15.33203125" style="48"/>
    <col min="13317" max="13317" width="48.5" style="48" customWidth="1"/>
    <col min="13318" max="13318" width="8.6640625" style="48" customWidth="1"/>
    <col min="13319" max="13319" width="8.1640625" style="48" customWidth="1"/>
    <col min="13320" max="13320" width="15.33203125" style="48" customWidth="1"/>
    <col min="13321" max="13321" width="5.33203125" style="48" customWidth="1"/>
    <col min="13322" max="13322" width="7" style="48" customWidth="1"/>
    <col min="13323" max="13323" width="10.33203125" style="48" customWidth="1"/>
    <col min="13324" max="13331" width="0" style="48" hidden="1" customWidth="1"/>
    <col min="13332" max="13332" width="19.1640625" style="48" customWidth="1"/>
    <col min="13333" max="13336" width="0" style="48" hidden="1" customWidth="1"/>
    <col min="13337" max="13337" width="15.6640625" style="48" bestFit="1" customWidth="1"/>
    <col min="13338" max="13572" width="15.33203125" style="48"/>
    <col min="13573" max="13573" width="48.5" style="48" customWidth="1"/>
    <col min="13574" max="13574" width="8.6640625" style="48" customWidth="1"/>
    <col min="13575" max="13575" width="8.1640625" style="48" customWidth="1"/>
    <col min="13576" max="13576" width="15.33203125" style="48" customWidth="1"/>
    <col min="13577" max="13577" width="5.33203125" style="48" customWidth="1"/>
    <col min="13578" max="13578" width="7" style="48" customWidth="1"/>
    <col min="13579" max="13579" width="10.33203125" style="48" customWidth="1"/>
    <col min="13580" max="13587" width="0" style="48" hidden="1" customWidth="1"/>
    <col min="13588" max="13588" width="19.1640625" style="48" customWidth="1"/>
    <col min="13589" max="13592" width="0" style="48" hidden="1" customWidth="1"/>
    <col min="13593" max="13593" width="15.6640625" style="48" bestFit="1" customWidth="1"/>
    <col min="13594" max="13828" width="15.33203125" style="48"/>
    <col min="13829" max="13829" width="48.5" style="48" customWidth="1"/>
    <col min="13830" max="13830" width="8.6640625" style="48" customWidth="1"/>
    <col min="13831" max="13831" width="8.1640625" style="48" customWidth="1"/>
    <col min="13832" max="13832" width="15.33203125" style="48" customWidth="1"/>
    <col min="13833" max="13833" width="5.33203125" style="48" customWidth="1"/>
    <col min="13834" max="13834" width="7" style="48" customWidth="1"/>
    <col min="13835" max="13835" width="10.33203125" style="48" customWidth="1"/>
    <col min="13836" max="13843" width="0" style="48" hidden="1" customWidth="1"/>
    <col min="13844" max="13844" width="19.1640625" style="48" customWidth="1"/>
    <col min="13845" max="13848" width="0" style="48" hidden="1" customWidth="1"/>
    <col min="13849" max="13849" width="15.6640625" style="48" bestFit="1" customWidth="1"/>
    <col min="13850" max="14084" width="15.33203125" style="48"/>
    <col min="14085" max="14085" width="48.5" style="48" customWidth="1"/>
    <col min="14086" max="14086" width="8.6640625" style="48" customWidth="1"/>
    <col min="14087" max="14087" width="8.1640625" style="48" customWidth="1"/>
    <col min="14088" max="14088" width="15.33203125" style="48" customWidth="1"/>
    <col min="14089" max="14089" width="5.33203125" style="48" customWidth="1"/>
    <col min="14090" max="14090" width="7" style="48" customWidth="1"/>
    <col min="14091" max="14091" width="10.33203125" style="48" customWidth="1"/>
    <col min="14092" max="14099" width="0" style="48" hidden="1" customWidth="1"/>
    <col min="14100" max="14100" width="19.1640625" style="48" customWidth="1"/>
    <col min="14101" max="14104" width="0" style="48" hidden="1" customWidth="1"/>
    <col min="14105" max="14105" width="15.6640625" style="48" bestFit="1" customWidth="1"/>
    <col min="14106" max="14340" width="15.33203125" style="48"/>
    <col min="14341" max="14341" width="48.5" style="48" customWidth="1"/>
    <col min="14342" max="14342" width="8.6640625" style="48" customWidth="1"/>
    <col min="14343" max="14343" width="8.1640625" style="48" customWidth="1"/>
    <col min="14344" max="14344" width="15.33203125" style="48" customWidth="1"/>
    <col min="14345" max="14345" width="5.33203125" style="48" customWidth="1"/>
    <col min="14346" max="14346" width="7" style="48" customWidth="1"/>
    <col min="14347" max="14347" width="10.33203125" style="48" customWidth="1"/>
    <col min="14348" max="14355" width="0" style="48" hidden="1" customWidth="1"/>
    <col min="14356" max="14356" width="19.1640625" style="48" customWidth="1"/>
    <col min="14357" max="14360" width="0" style="48" hidden="1" customWidth="1"/>
    <col min="14361" max="14361" width="15.6640625" style="48" bestFit="1" customWidth="1"/>
    <col min="14362" max="14596" width="15.33203125" style="48"/>
    <col min="14597" max="14597" width="48.5" style="48" customWidth="1"/>
    <col min="14598" max="14598" width="8.6640625" style="48" customWidth="1"/>
    <col min="14599" max="14599" width="8.1640625" style="48" customWidth="1"/>
    <col min="14600" max="14600" width="15.33203125" style="48" customWidth="1"/>
    <col min="14601" max="14601" width="5.33203125" style="48" customWidth="1"/>
    <col min="14602" max="14602" width="7" style="48" customWidth="1"/>
    <col min="14603" max="14603" width="10.33203125" style="48" customWidth="1"/>
    <col min="14604" max="14611" width="0" style="48" hidden="1" customWidth="1"/>
    <col min="14612" max="14612" width="19.1640625" style="48" customWidth="1"/>
    <col min="14613" max="14616" width="0" style="48" hidden="1" customWidth="1"/>
    <col min="14617" max="14617" width="15.6640625" style="48" bestFit="1" customWidth="1"/>
    <col min="14618" max="14852" width="15.33203125" style="48"/>
    <col min="14853" max="14853" width="48.5" style="48" customWidth="1"/>
    <col min="14854" max="14854" width="8.6640625" style="48" customWidth="1"/>
    <col min="14855" max="14855" width="8.1640625" style="48" customWidth="1"/>
    <col min="14856" max="14856" width="15.33203125" style="48" customWidth="1"/>
    <col min="14857" max="14857" width="5.33203125" style="48" customWidth="1"/>
    <col min="14858" max="14858" width="7" style="48" customWidth="1"/>
    <col min="14859" max="14859" width="10.33203125" style="48" customWidth="1"/>
    <col min="14860" max="14867" width="0" style="48" hidden="1" customWidth="1"/>
    <col min="14868" max="14868" width="19.1640625" style="48" customWidth="1"/>
    <col min="14869" max="14872" width="0" style="48" hidden="1" customWidth="1"/>
    <col min="14873" max="14873" width="15.6640625" style="48" bestFit="1" customWidth="1"/>
    <col min="14874" max="15108" width="15.33203125" style="48"/>
    <col min="15109" max="15109" width="48.5" style="48" customWidth="1"/>
    <col min="15110" max="15110" width="8.6640625" style="48" customWidth="1"/>
    <col min="15111" max="15111" width="8.1640625" style="48" customWidth="1"/>
    <col min="15112" max="15112" width="15.33203125" style="48" customWidth="1"/>
    <col min="15113" max="15113" width="5.33203125" style="48" customWidth="1"/>
    <col min="15114" max="15114" width="7" style="48" customWidth="1"/>
    <col min="15115" max="15115" width="10.33203125" style="48" customWidth="1"/>
    <col min="15116" max="15123" width="0" style="48" hidden="1" customWidth="1"/>
    <col min="15124" max="15124" width="19.1640625" style="48" customWidth="1"/>
    <col min="15125" max="15128" width="0" style="48" hidden="1" customWidth="1"/>
    <col min="15129" max="15129" width="15.6640625" style="48" bestFit="1" customWidth="1"/>
    <col min="15130" max="15364" width="15.33203125" style="48"/>
    <col min="15365" max="15365" width="48.5" style="48" customWidth="1"/>
    <col min="15366" max="15366" width="8.6640625" style="48" customWidth="1"/>
    <col min="15367" max="15367" width="8.1640625" style="48" customWidth="1"/>
    <col min="15368" max="15368" width="15.33203125" style="48" customWidth="1"/>
    <col min="15369" max="15369" width="5.33203125" style="48" customWidth="1"/>
    <col min="15370" max="15370" width="7" style="48" customWidth="1"/>
    <col min="15371" max="15371" width="10.33203125" style="48" customWidth="1"/>
    <col min="15372" max="15379" width="0" style="48" hidden="1" customWidth="1"/>
    <col min="15380" max="15380" width="19.1640625" style="48" customWidth="1"/>
    <col min="15381" max="15384" width="0" style="48" hidden="1" customWidth="1"/>
    <col min="15385" max="15385" width="15.6640625" style="48" bestFit="1" customWidth="1"/>
    <col min="15386" max="15620" width="15.33203125" style="48"/>
    <col min="15621" max="15621" width="48.5" style="48" customWidth="1"/>
    <col min="15622" max="15622" width="8.6640625" style="48" customWidth="1"/>
    <col min="15623" max="15623" width="8.1640625" style="48" customWidth="1"/>
    <col min="15624" max="15624" width="15.33203125" style="48" customWidth="1"/>
    <col min="15625" max="15625" width="5.33203125" style="48" customWidth="1"/>
    <col min="15626" max="15626" width="7" style="48" customWidth="1"/>
    <col min="15627" max="15627" width="10.33203125" style="48" customWidth="1"/>
    <col min="15628" max="15635" width="0" style="48" hidden="1" customWidth="1"/>
    <col min="15636" max="15636" width="19.1640625" style="48" customWidth="1"/>
    <col min="15637" max="15640" width="0" style="48" hidden="1" customWidth="1"/>
    <col min="15641" max="15641" width="15.6640625" style="48" bestFit="1" customWidth="1"/>
    <col min="15642" max="15876" width="15.33203125" style="48"/>
    <col min="15877" max="15877" width="48.5" style="48" customWidth="1"/>
    <col min="15878" max="15878" width="8.6640625" style="48" customWidth="1"/>
    <col min="15879" max="15879" width="8.1640625" style="48" customWidth="1"/>
    <col min="15880" max="15880" width="15.33203125" style="48" customWidth="1"/>
    <col min="15881" max="15881" width="5.33203125" style="48" customWidth="1"/>
    <col min="15882" max="15882" width="7" style="48" customWidth="1"/>
    <col min="15883" max="15883" width="10.33203125" style="48" customWidth="1"/>
    <col min="15884" max="15891" width="0" style="48" hidden="1" customWidth="1"/>
    <col min="15892" max="15892" width="19.1640625" style="48" customWidth="1"/>
    <col min="15893" max="15896" width="0" style="48" hidden="1" customWidth="1"/>
    <col min="15897" max="15897" width="15.6640625" style="48" bestFit="1" customWidth="1"/>
    <col min="15898" max="16132" width="15.33203125" style="48"/>
    <col min="16133" max="16133" width="48.5" style="48" customWidth="1"/>
    <col min="16134" max="16134" width="8.6640625" style="48" customWidth="1"/>
    <col min="16135" max="16135" width="8.1640625" style="48" customWidth="1"/>
    <col min="16136" max="16136" width="15.33203125" style="48" customWidth="1"/>
    <col min="16137" max="16137" width="5.33203125" style="48" customWidth="1"/>
    <col min="16138" max="16138" width="7" style="48" customWidth="1"/>
    <col min="16139" max="16139" width="10.33203125" style="48" customWidth="1"/>
    <col min="16140" max="16147" width="0" style="48" hidden="1" customWidth="1"/>
    <col min="16148" max="16148" width="19.1640625" style="48" customWidth="1"/>
    <col min="16149" max="16152" width="0" style="48" hidden="1" customWidth="1"/>
    <col min="16153" max="16153" width="15.6640625" style="48" bestFit="1" customWidth="1"/>
    <col min="16154" max="16384" width="15.33203125" style="48"/>
  </cols>
  <sheetData>
    <row r="1" spans="1:36" ht="15.75" x14ac:dyDescent="0.25">
      <c r="D1" s="50"/>
      <c r="E1" s="51"/>
      <c r="F1" s="51"/>
      <c r="G1" s="48"/>
      <c r="H1" s="52"/>
      <c r="I1" s="52"/>
      <c r="J1" s="50"/>
      <c r="K1" s="51"/>
      <c r="L1" s="51"/>
      <c r="Q1" s="50"/>
      <c r="R1" s="51"/>
      <c r="S1" s="54"/>
      <c r="T1" s="50"/>
      <c r="U1" s="51"/>
      <c r="V1" s="51"/>
      <c r="W1" s="51"/>
      <c r="X1" s="54"/>
      <c r="Y1" s="55"/>
      <c r="Z1" s="55"/>
      <c r="AD1" s="51"/>
      <c r="AE1" s="51"/>
      <c r="AG1" s="57"/>
    </row>
    <row r="2" spans="1:36" ht="15.75" x14ac:dyDescent="0.25">
      <c r="D2" s="50"/>
      <c r="E2" s="51"/>
      <c r="F2" s="51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5"/>
      <c r="Z2" s="55"/>
      <c r="AA2" s="59"/>
      <c r="AB2" s="59"/>
      <c r="AC2" s="59" t="s">
        <v>140</v>
      </c>
      <c r="AD2" s="58"/>
      <c r="AE2" s="58"/>
      <c r="AF2" s="58"/>
      <c r="AG2" s="58"/>
      <c r="AH2" s="58"/>
      <c r="AI2" s="58"/>
      <c r="AJ2" s="58"/>
    </row>
    <row r="3" spans="1:36" ht="15.75" x14ac:dyDescent="0.25">
      <c r="D3" s="60"/>
      <c r="E3" s="54"/>
      <c r="F3" s="54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51"/>
      <c r="Z3" s="51"/>
      <c r="AA3" s="62"/>
      <c r="AB3" s="62"/>
      <c r="AC3" s="62" t="s">
        <v>141</v>
      </c>
      <c r="AD3" s="61"/>
      <c r="AE3" s="61"/>
      <c r="AF3" s="61"/>
      <c r="AG3" s="61"/>
      <c r="AH3" s="61"/>
      <c r="AI3" s="61"/>
      <c r="AJ3" s="61"/>
    </row>
    <row r="4" spans="1:36" ht="15.75" x14ac:dyDescent="0.25">
      <c r="D4" s="63"/>
      <c r="E4" s="63"/>
      <c r="F4" s="63"/>
      <c r="G4" s="577"/>
      <c r="H4" s="577"/>
      <c r="I4" s="577"/>
      <c r="J4" s="577"/>
      <c r="K4" s="577"/>
      <c r="L4" s="577"/>
      <c r="M4" s="577"/>
      <c r="N4" s="577"/>
      <c r="O4" s="577"/>
      <c r="P4" s="577"/>
      <c r="Q4" s="577"/>
      <c r="R4" s="63"/>
      <c r="S4" s="63"/>
      <c r="T4" s="63"/>
      <c r="U4" s="63"/>
      <c r="V4" s="63"/>
      <c r="W4" s="63"/>
      <c r="X4" s="63"/>
      <c r="Y4" s="54"/>
      <c r="Z4" s="54"/>
      <c r="AA4" s="64"/>
      <c r="AB4" s="64"/>
      <c r="AC4" s="64" t="s">
        <v>1122</v>
      </c>
      <c r="AD4" s="65"/>
      <c r="AE4" s="65"/>
      <c r="AF4" s="65"/>
      <c r="AG4" s="65"/>
      <c r="AH4" s="65"/>
      <c r="AI4" s="65"/>
      <c r="AJ4" s="65"/>
    </row>
    <row r="5" spans="1:36" ht="15.75" x14ac:dyDescent="0.25">
      <c r="D5" s="63"/>
      <c r="E5" s="63"/>
      <c r="F5" s="63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3"/>
      <c r="S5" s="63"/>
      <c r="T5" s="63"/>
      <c r="U5" s="63"/>
      <c r="V5" s="63"/>
      <c r="W5" s="63"/>
      <c r="X5" s="63"/>
      <c r="Y5" s="54"/>
      <c r="Z5" s="54"/>
      <c r="AA5" s="66"/>
      <c r="AB5" s="66"/>
      <c r="AC5" s="66" t="s">
        <v>1119</v>
      </c>
      <c r="AD5" s="66"/>
      <c r="AE5" s="66"/>
      <c r="AF5" s="66"/>
      <c r="AG5" s="66"/>
      <c r="AH5" s="66"/>
      <c r="AI5" s="66"/>
      <c r="AJ5" s="66"/>
    </row>
    <row r="6" spans="1:36" ht="63.75" customHeight="1" x14ac:dyDescent="0.25">
      <c r="A6" s="578" t="s">
        <v>142</v>
      </c>
      <c r="B6" s="578"/>
      <c r="C6" s="578"/>
      <c r="D6" s="578"/>
      <c r="E6" s="578"/>
      <c r="F6" s="578"/>
      <c r="G6" s="578"/>
      <c r="H6" s="578"/>
      <c r="I6" s="578"/>
      <c r="J6" s="578"/>
      <c r="K6" s="578"/>
      <c r="L6" s="578"/>
      <c r="M6" s="578"/>
      <c r="N6" s="578"/>
      <c r="O6" s="578"/>
      <c r="P6" s="578"/>
      <c r="Q6" s="578"/>
      <c r="R6" s="578"/>
      <c r="S6" s="578"/>
      <c r="T6" s="578"/>
      <c r="U6" s="578"/>
      <c r="V6" s="578"/>
      <c r="W6" s="578"/>
      <c r="X6" s="578"/>
      <c r="Y6" s="578"/>
      <c r="Z6" s="578"/>
      <c r="AA6" s="578"/>
      <c r="AB6" s="244"/>
      <c r="AC6" s="244"/>
      <c r="AD6" s="65"/>
      <c r="AE6" s="65"/>
      <c r="AF6" s="65"/>
      <c r="AG6" s="57"/>
    </row>
    <row r="7" spans="1:36" ht="15.75" x14ac:dyDescent="0.25">
      <c r="A7" s="50"/>
      <c r="B7" s="51"/>
      <c r="C7" s="51"/>
      <c r="D7" s="67"/>
      <c r="E7" s="50"/>
      <c r="F7" s="51"/>
      <c r="G7" s="51"/>
      <c r="H7" s="68"/>
      <c r="I7" s="56"/>
      <c r="J7" s="56"/>
      <c r="K7" s="56"/>
      <c r="L7" s="56"/>
      <c r="M7" s="56"/>
      <c r="N7" s="56"/>
      <c r="O7" s="57"/>
      <c r="P7" s="69"/>
      <c r="Q7" s="57"/>
      <c r="R7" s="57"/>
      <c r="S7" s="57"/>
      <c r="T7" s="57"/>
      <c r="U7" s="57"/>
      <c r="V7" s="57"/>
      <c r="W7" s="57"/>
      <c r="X7" s="57"/>
      <c r="Y7" s="70"/>
      <c r="Z7" s="70"/>
      <c r="AA7" s="69"/>
      <c r="AB7" s="69"/>
      <c r="AC7" s="69"/>
      <c r="AG7" s="57"/>
    </row>
    <row r="8" spans="1:36" s="75" customFormat="1" ht="48" customHeight="1" x14ac:dyDescent="0.2">
      <c r="A8" s="71" t="s">
        <v>143</v>
      </c>
      <c r="B8" s="71" t="s">
        <v>144</v>
      </c>
      <c r="C8" s="72" t="s">
        <v>145</v>
      </c>
      <c r="D8" s="72" t="s">
        <v>146</v>
      </c>
      <c r="E8" s="72" t="s">
        <v>147</v>
      </c>
      <c r="F8" s="72" t="s">
        <v>148</v>
      </c>
      <c r="G8" s="72" t="s">
        <v>149</v>
      </c>
      <c r="H8" s="73" t="s">
        <v>150</v>
      </c>
      <c r="I8" s="73" t="s">
        <v>151</v>
      </c>
      <c r="J8" s="73" t="s">
        <v>152</v>
      </c>
      <c r="K8" s="73" t="s">
        <v>153</v>
      </c>
      <c r="L8" s="73" t="s">
        <v>154</v>
      </c>
      <c r="M8" s="73" t="s">
        <v>155</v>
      </c>
      <c r="N8" s="73" t="s">
        <v>156</v>
      </c>
      <c r="O8" s="73" t="s">
        <v>157</v>
      </c>
      <c r="P8" s="73" t="s">
        <v>158</v>
      </c>
      <c r="Q8" s="73" t="s">
        <v>151</v>
      </c>
      <c r="R8" s="73" t="s">
        <v>152</v>
      </c>
      <c r="S8" s="73" t="s">
        <v>159</v>
      </c>
      <c r="T8" s="73" t="s">
        <v>154</v>
      </c>
      <c r="U8" s="73" t="s">
        <v>155</v>
      </c>
      <c r="V8" s="73" t="s">
        <v>160</v>
      </c>
      <c r="W8" s="73" t="s">
        <v>161</v>
      </c>
      <c r="X8" s="73" t="s">
        <v>162</v>
      </c>
      <c r="Y8" s="73" t="s">
        <v>163</v>
      </c>
      <c r="Z8" s="73" t="s">
        <v>164</v>
      </c>
      <c r="AA8" s="73" t="s">
        <v>690</v>
      </c>
      <c r="AB8" s="73" t="s">
        <v>689</v>
      </c>
      <c r="AC8" s="73" t="s">
        <v>690</v>
      </c>
      <c r="AD8" s="74"/>
      <c r="AE8" s="74"/>
      <c r="AF8" s="74"/>
      <c r="AG8" s="74"/>
    </row>
    <row r="9" spans="1:36" s="82" customFormat="1" ht="27" customHeight="1" x14ac:dyDescent="0.2">
      <c r="A9" s="76" t="s">
        <v>165</v>
      </c>
      <c r="B9" s="77">
        <v>804</v>
      </c>
      <c r="C9" s="78" t="s">
        <v>166</v>
      </c>
      <c r="D9" s="78" t="s">
        <v>167</v>
      </c>
      <c r="E9" s="78" t="s">
        <v>168</v>
      </c>
      <c r="F9" s="78" t="s">
        <v>168</v>
      </c>
      <c r="G9" s="78"/>
      <c r="H9" s="79" t="e">
        <f>H10+H18+H28+H104+H89</f>
        <v>#REF!</v>
      </c>
      <c r="I9" s="79" t="e">
        <f>I10+I18+I28+#REF!+#REF!+I89</f>
        <v>#REF!</v>
      </c>
      <c r="J9" s="79" t="e">
        <f>J10+J18+J28+#REF!+#REF!+J89</f>
        <v>#REF!</v>
      </c>
      <c r="K9" s="79" t="e">
        <f>K10+K18+K28+#REF!+#REF!+K89</f>
        <v>#REF!</v>
      </c>
      <c r="L9" s="79" t="e">
        <f>L10+L18+L28+#REF!+#REF!+L89</f>
        <v>#REF!</v>
      </c>
      <c r="M9" s="79" t="e">
        <f>M10+M18+M28+#REF!+#REF!+M89</f>
        <v>#REF!</v>
      </c>
      <c r="N9" s="79" t="e">
        <f>N10+N18+N28+#REF!+#REF!+N89</f>
        <v>#REF!</v>
      </c>
      <c r="O9" s="79" t="e">
        <f>O10+O18+O28+O104+O89</f>
        <v>#REF!</v>
      </c>
      <c r="P9" s="80" t="e">
        <f>P10+P18+P28+P104+P89+P100+P102</f>
        <v>#REF!</v>
      </c>
      <c r="Q9" s="80" t="e">
        <f t="shared" ref="Q9:Y9" si="0">Q10+Q18+Q28+Q104+Q89+Q100</f>
        <v>#REF!</v>
      </c>
      <c r="R9" s="80" t="e">
        <f t="shared" si="0"/>
        <v>#REF!</v>
      </c>
      <c r="S9" s="80" t="e">
        <f t="shared" si="0"/>
        <v>#REF!</v>
      </c>
      <c r="T9" s="80" t="e">
        <f t="shared" si="0"/>
        <v>#REF!</v>
      </c>
      <c r="U9" s="80" t="e">
        <f t="shared" si="0"/>
        <v>#REF!</v>
      </c>
      <c r="V9" s="80" t="e">
        <f t="shared" si="0"/>
        <v>#REF!</v>
      </c>
      <c r="W9" s="80" t="e">
        <f t="shared" si="0"/>
        <v>#REF!</v>
      </c>
      <c r="X9" s="80" t="e">
        <f t="shared" si="0"/>
        <v>#REF!</v>
      </c>
      <c r="Y9" s="80" t="e">
        <f t="shared" si="0"/>
        <v>#REF!</v>
      </c>
      <c r="Z9" s="80" t="e">
        <f t="shared" ref="Z9:Z72" si="1">AA9-P9</f>
        <v>#REF!</v>
      </c>
      <c r="AA9" s="80">
        <f>AA10+AA18+AA28+AA100+AA102+AA104</f>
        <v>51958329.359999999</v>
      </c>
      <c r="AB9" s="80">
        <f t="shared" ref="AB9:AC9" si="2">AB10+AB18+AB28+AB100+AB102+AB104</f>
        <v>5527183.9800000004</v>
      </c>
      <c r="AC9" s="80">
        <f t="shared" si="2"/>
        <v>57146368.039999992</v>
      </c>
      <c r="AD9" s="81"/>
      <c r="AE9" s="81"/>
      <c r="AF9" s="81"/>
      <c r="AG9" s="81"/>
    </row>
    <row r="10" spans="1:36" s="82" customFormat="1" ht="27" customHeight="1" x14ac:dyDescent="0.2">
      <c r="A10" s="83" t="s">
        <v>169</v>
      </c>
      <c r="B10" s="77">
        <v>804</v>
      </c>
      <c r="C10" s="78" t="s">
        <v>170</v>
      </c>
      <c r="D10" s="78" t="s">
        <v>171</v>
      </c>
      <c r="E10" s="78" t="s">
        <v>172</v>
      </c>
      <c r="F10" s="78" t="s">
        <v>168</v>
      </c>
      <c r="G10" s="78"/>
      <c r="H10" s="79">
        <f t="shared" ref="H10:X10" si="3">H11</f>
        <v>1651113.08</v>
      </c>
      <c r="I10" s="79">
        <f t="shared" si="3"/>
        <v>0</v>
      </c>
      <c r="J10" s="79">
        <f t="shared" si="3"/>
        <v>0</v>
      </c>
      <c r="K10" s="79">
        <f t="shared" si="3"/>
        <v>0</v>
      </c>
      <c r="L10" s="79">
        <f t="shared" si="3"/>
        <v>0</v>
      </c>
      <c r="M10" s="79">
        <f t="shared" si="3"/>
        <v>0</v>
      </c>
      <c r="N10" s="79">
        <f t="shared" si="3"/>
        <v>1651113.08</v>
      </c>
      <c r="O10" s="79">
        <f t="shared" si="3"/>
        <v>1651113.08</v>
      </c>
      <c r="P10" s="80">
        <f t="shared" si="3"/>
        <v>1752146.97</v>
      </c>
      <c r="Q10" s="80">
        <f t="shared" si="3"/>
        <v>0</v>
      </c>
      <c r="R10" s="80">
        <f t="shared" si="3"/>
        <v>0</v>
      </c>
      <c r="S10" s="80">
        <f t="shared" si="3"/>
        <v>0</v>
      </c>
      <c r="T10" s="80">
        <f t="shared" si="3"/>
        <v>0</v>
      </c>
      <c r="U10" s="80">
        <f t="shared" si="3"/>
        <v>0</v>
      </c>
      <c r="V10" s="80">
        <f t="shared" si="3"/>
        <v>0</v>
      </c>
      <c r="W10" s="80">
        <f t="shared" si="3"/>
        <v>0</v>
      </c>
      <c r="X10" s="80">
        <f t="shared" si="3"/>
        <v>1752146.97</v>
      </c>
      <c r="Y10" s="84"/>
      <c r="Z10" s="84">
        <f t="shared" si="1"/>
        <v>669264.19999999995</v>
      </c>
      <c r="AA10" s="80">
        <f>AA11</f>
        <v>2421411.17</v>
      </c>
      <c r="AB10" s="80">
        <f t="shared" ref="AB10:AC10" si="4">AB11</f>
        <v>-87634.960000000021</v>
      </c>
      <c r="AC10" s="80">
        <f t="shared" si="4"/>
        <v>2333776.21</v>
      </c>
      <c r="AD10" s="81"/>
      <c r="AE10" s="81"/>
      <c r="AF10" s="81"/>
      <c r="AG10" s="81"/>
    </row>
    <row r="11" spans="1:36" s="82" customFormat="1" ht="27" customHeight="1" x14ac:dyDescent="0.2">
      <c r="A11" s="76" t="s">
        <v>173</v>
      </c>
      <c r="B11" s="77">
        <v>804</v>
      </c>
      <c r="C11" s="78" t="s">
        <v>170</v>
      </c>
      <c r="D11" s="78" t="s">
        <v>171</v>
      </c>
      <c r="E11" s="78" t="s">
        <v>172</v>
      </c>
      <c r="F11" s="78" t="s">
        <v>174</v>
      </c>
      <c r="G11" s="78"/>
      <c r="H11" s="79">
        <f t="shared" ref="H11:O11" si="5">H12+H13</f>
        <v>1651113.08</v>
      </c>
      <c r="I11" s="79">
        <f t="shared" si="5"/>
        <v>0</v>
      </c>
      <c r="J11" s="79">
        <f t="shared" si="5"/>
        <v>0</v>
      </c>
      <c r="K11" s="79">
        <f t="shared" si="5"/>
        <v>0</v>
      </c>
      <c r="L11" s="79">
        <f t="shared" si="5"/>
        <v>0</v>
      </c>
      <c r="M11" s="79">
        <f t="shared" si="5"/>
        <v>0</v>
      </c>
      <c r="N11" s="79">
        <f t="shared" si="5"/>
        <v>1651113.08</v>
      </c>
      <c r="O11" s="79">
        <f t="shared" si="5"/>
        <v>1651113.08</v>
      </c>
      <c r="P11" s="80">
        <f t="shared" ref="P11:Y11" si="6">SUM(P12:P17)</f>
        <v>1752146.97</v>
      </c>
      <c r="Q11" s="80">
        <f t="shared" si="6"/>
        <v>0</v>
      </c>
      <c r="R11" s="80">
        <f t="shared" si="6"/>
        <v>0</v>
      </c>
      <c r="S11" s="80">
        <f t="shared" si="6"/>
        <v>0</v>
      </c>
      <c r="T11" s="80">
        <f t="shared" si="6"/>
        <v>0</v>
      </c>
      <c r="U11" s="80">
        <f t="shared" si="6"/>
        <v>0</v>
      </c>
      <c r="V11" s="80">
        <f t="shared" si="6"/>
        <v>0</v>
      </c>
      <c r="W11" s="80">
        <f t="shared" si="6"/>
        <v>0</v>
      </c>
      <c r="X11" s="80">
        <f t="shared" si="6"/>
        <v>1752146.97</v>
      </c>
      <c r="Y11" s="80">
        <f t="shared" si="6"/>
        <v>0</v>
      </c>
      <c r="Z11" s="80">
        <f t="shared" si="1"/>
        <v>669264.19999999995</v>
      </c>
      <c r="AA11" s="80">
        <f>SUM(AA12:AA17)</f>
        <v>2421411.17</v>
      </c>
      <c r="AB11" s="80">
        <f t="shared" ref="AB11:AC11" si="7">SUM(AB12:AB17)</f>
        <v>-87634.960000000021</v>
      </c>
      <c r="AC11" s="80">
        <f t="shared" si="7"/>
        <v>2333776.21</v>
      </c>
      <c r="AD11" s="81"/>
      <c r="AE11" s="81"/>
      <c r="AF11" s="81"/>
      <c r="AG11" s="81"/>
    </row>
    <row r="12" spans="1:36" s="82" customFormat="1" x14ac:dyDescent="0.2">
      <c r="A12" s="87" t="s">
        <v>175</v>
      </c>
      <c r="B12" s="88">
        <v>804</v>
      </c>
      <c r="C12" s="89" t="s">
        <v>170</v>
      </c>
      <c r="D12" s="89" t="s">
        <v>171</v>
      </c>
      <c r="E12" s="89" t="s">
        <v>176</v>
      </c>
      <c r="F12" s="89" t="s">
        <v>177</v>
      </c>
      <c r="G12" s="89"/>
      <c r="H12" s="84">
        <f>1088528.83+179607.17</f>
        <v>1268136</v>
      </c>
      <c r="I12" s="84">
        <f>SUM(J12:M12)</f>
        <v>0</v>
      </c>
      <c r="J12" s="84"/>
      <c r="K12" s="84"/>
      <c r="L12" s="84"/>
      <c r="M12" s="84"/>
      <c r="N12" s="84">
        <f>H12+I12</f>
        <v>1268136</v>
      </c>
      <c r="O12" s="84">
        <f>1088528.83+179607.17</f>
        <v>1268136</v>
      </c>
      <c r="P12" s="90">
        <v>1345735</v>
      </c>
      <c r="Q12" s="84">
        <f>R12+S12+T12+U12+V12</f>
        <v>0</v>
      </c>
      <c r="R12" s="84">
        <v>0</v>
      </c>
      <c r="S12" s="84"/>
      <c r="T12" s="84"/>
      <c r="U12" s="84">
        <v>0</v>
      </c>
      <c r="V12" s="84">
        <v>0</v>
      </c>
      <c r="W12" s="84"/>
      <c r="X12" s="84">
        <f>P12+Q12</f>
        <v>1345735</v>
      </c>
      <c r="Y12" s="90"/>
      <c r="Z12" s="90">
        <f t="shared" si="1"/>
        <v>-10000</v>
      </c>
      <c r="AA12" s="90">
        <v>1335735</v>
      </c>
      <c r="AB12" s="90">
        <f>AC12-AA12</f>
        <v>63598.879999999888</v>
      </c>
      <c r="AC12" s="90">
        <v>1399333.88</v>
      </c>
      <c r="AD12" s="81"/>
      <c r="AE12" s="81"/>
      <c r="AF12" s="81"/>
      <c r="AG12" s="81"/>
    </row>
    <row r="13" spans="1:36" s="82" customFormat="1" x14ac:dyDescent="0.2">
      <c r="A13" s="87" t="s">
        <v>178</v>
      </c>
      <c r="B13" s="88">
        <v>804</v>
      </c>
      <c r="C13" s="89" t="s">
        <v>170</v>
      </c>
      <c r="D13" s="89" t="s">
        <v>171</v>
      </c>
      <c r="E13" s="89" t="s">
        <v>179</v>
      </c>
      <c r="F13" s="89" t="s">
        <v>180</v>
      </c>
      <c r="G13" s="89"/>
      <c r="H13" s="84">
        <f>328735.71+54241.37</f>
        <v>382977.08</v>
      </c>
      <c r="I13" s="84">
        <f>SUM(J13:M13)</f>
        <v>0</v>
      </c>
      <c r="J13" s="84"/>
      <c r="K13" s="84"/>
      <c r="L13" s="84"/>
      <c r="M13" s="84"/>
      <c r="N13" s="84">
        <f>H13+I13</f>
        <v>382977.08</v>
      </c>
      <c r="O13" s="84">
        <f>328735.71+54241.37</f>
        <v>382977.08</v>
      </c>
      <c r="P13" s="90">
        <v>406411.97</v>
      </c>
      <c r="Q13" s="84">
        <f>R13+S13+T13+U13+V13</f>
        <v>0</v>
      </c>
      <c r="R13" s="84">
        <v>0</v>
      </c>
      <c r="S13" s="84"/>
      <c r="T13" s="84"/>
      <c r="U13" s="84">
        <v>0</v>
      </c>
      <c r="V13" s="84">
        <v>0</v>
      </c>
      <c r="W13" s="84"/>
      <c r="X13" s="84">
        <f>P13+Q13</f>
        <v>406411.97</v>
      </c>
      <c r="Y13" s="90"/>
      <c r="Z13" s="90">
        <f t="shared" si="1"/>
        <v>0</v>
      </c>
      <c r="AA13" s="90">
        <v>406411.97</v>
      </c>
      <c r="AB13" s="90">
        <f t="shared" ref="AB13:AB17" si="8">AC13-AA13</f>
        <v>19206.860000000044</v>
      </c>
      <c r="AC13" s="90">
        <v>425618.83</v>
      </c>
      <c r="AD13" s="81"/>
      <c r="AE13" s="81"/>
      <c r="AF13" s="81"/>
      <c r="AG13" s="81"/>
    </row>
    <row r="14" spans="1:36" s="82" customFormat="1" ht="25.5" x14ac:dyDescent="0.2">
      <c r="A14" s="87" t="s">
        <v>181</v>
      </c>
      <c r="B14" s="88">
        <v>804</v>
      </c>
      <c r="C14" s="89" t="s">
        <v>170</v>
      </c>
      <c r="D14" s="89" t="s">
        <v>171</v>
      </c>
      <c r="E14" s="89" t="s">
        <v>176</v>
      </c>
      <c r="F14" s="89" t="s">
        <v>182</v>
      </c>
      <c r="G14" s="89"/>
      <c r="H14" s="84"/>
      <c r="I14" s="84"/>
      <c r="J14" s="84"/>
      <c r="K14" s="84"/>
      <c r="L14" s="84"/>
      <c r="M14" s="84"/>
      <c r="N14" s="84"/>
      <c r="O14" s="84"/>
      <c r="P14" s="90"/>
      <c r="Q14" s="84"/>
      <c r="R14" s="84"/>
      <c r="S14" s="84"/>
      <c r="T14" s="84"/>
      <c r="U14" s="84"/>
      <c r="V14" s="84"/>
      <c r="W14" s="84"/>
      <c r="X14" s="84"/>
      <c r="Y14" s="90"/>
      <c r="Z14" s="90">
        <f t="shared" si="1"/>
        <v>10000</v>
      </c>
      <c r="AA14" s="90">
        <v>10000</v>
      </c>
      <c r="AB14" s="90">
        <f t="shared" si="8"/>
        <v>0</v>
      </c>
      <c r="AC14" s="90">
        <v>10000</v>
      </c>
      <c r="AD14" s="81"/>
      <c r="AE14" s="81"/>
      <c r="AF14" s="81"/>
      <c r="AG14" s="81"/>
    </row>
    <row r="15" spans="1:36" s="82" customFormat="1" ht="25.5" x14ac:dyDescent="0.2">
      <c r="A15" s="91" t="s">
        <v>183</v>
      </c>
      <c r="B15" s="88">
        <v>804</v>
      </c>
      <c r="C15" s="89" t="s">
        <v>170</v>
      </c>
      <c r="D15" s="89" t="s">
        <v>171</v>
      </c>
      <c r="E15" s="89" t="s">
        <v>184</v>
      </c>
      <c r="F15" s="89" t="s">
        <v>185</v>
      </c>
      <c r="G15" s="89"/>
      <c r="H15" s="84"/>
      <c r="I15" s="84"/>
      <c r="J15" s="84"/>
      <c r="K15" s="84"/>
      <c r="L15" s="84"/>
      <c r="M15" s="84"/>
      <c r="N15" s="84"/>
      <c r="O15" s="84"/>
      <c r="P15" s="90"/>
      <c r="Q15" s="84"/>
      <c r="R15" s="84"/>
      <c r="S15" s="84"/>
      <c r="T15" s="84"/>
      <c r="U15" s="84"/>
      <c r="V15" s="84"/>
      <c r="W15" s="84"/>
      <c r="X15" s="84"/>
      <c r="Y15" s="90"/>
      <c r="Z15" s="90">
        <f t="shared" si="1"/>
        <v>1530</v>
      </c>
      <c r="AA15" s="90">
        <v>1530</v>
      </c>
      <c r="AB15" s="90">
        <f t="shared" si="8"/>
        <v>0</v>
      </c>
      <c r="AC15" s="90">
        <v>1530</v>
      </c>
      <c r="AD15" s="81"/>
      <c r="AE15" s="81"/>
      <c r="AF15" s="81"/>
      <c r="AG15" s="81"/>
    </row>
    <row r="16" spans="1:36" s="82" customFormat="1" x14ac:dyDescent="0.2">
      <c r="A16" s="91" t="s">
        <v>186</v>
      </c>
      <c r="B16" s="88">
        <v>804</v>
      </c>
      <c r="C16" s="89" t="s">
        <v>170</v>
      </c>
      <c r="D16" s="89" t="s">
        <v>171</v>
      </c>
      <c r="E16" s="89" t="s">
        <v>184</v>
      </c>
      <c r="F16" s="89" t="s">
        <v>187</v>
      </c>
      <c r="G16" s="89" t="s">
        <v>188</v>
      </c>
      <c r="H16" s="84"/>
      <c r="I16" s="84"/>
      <c r="J16" s="84"/>
      <c r="K16" s="84"/>
      <c r="L16" s="84"/>
      <c r="M16" s="84"/>
      <c r="N16" s="84"/>
      <c r="O16" s="84"/>
      <c r="P16" s="90"/>
      <c r="Q16" s="84"/>
      <c r="R16" s="84"/>
      <c r="S16" s="84"/>
      <c r="T16" s="84"/>
      <c r="U16" s="84"/>
      <c r="V16" s="84"/>
      <c r="W16" s="84"/>
      <c r="X16" s="84"/>
      <c r="Y16" s="90"/>
      <c r="Z16" s="90">
        <f t="shared" si="1"/>
        <v>52650</v>
      </c>
      <c r="AA16" s="90">
        <v>52650</v>
      </c>
      <c r="AB16" s="90">
        <f t="shared" si="8"/>
        <v>0</v>
      </c>
      <c r="AC16" s="90">
        <v>52650</v>
      </c>
      <c r="AD16" s="81"/>
      <c r="AE16" s="81"/>
      <c r="AF16" s="81"/>
      <c r="AG16" s="81"/>
    </row>
    <row r="17" spans="1:33" s="82" customFormat="1" ht="25.5" x14ac:dyDescent="0.2">
      <c r="A17" s="92" t="s">
        <v>189</v>
      </c>
      <c r="B17" s="88">
        <v>804</v>
      </c>
      <c r="C17" s="89" t="s">
        <v>170</v>
      </c>
      <c r="D17" s="89" t="s">
        <v>171</v>
      </c>
      <c r="E17" s="89" t="s">
        <v>190</v>
      </c>
      <c r="F17" s="89" t="s">
        <v>191</v>
      </c>
      <c r="G17" s="89"/>
      <c r="H17" s="84"/>
      <c r="I17" s="84"/>
      <c r="J17" s="84"/>
      <c r="K17" s="84"/>
      <c r="L17" s="84"/>
      <c r="M17" s="84"/>
      <c r="N17" s="84"/>
      <c r="O17" s="84"/>
      <c r="P17" s="90"/>
      <c r="Q17" s="84"/>
      <c r="R17" s="84"/>
      <c r="S17" s="84"/>
      <c r="T17" s="84"/>
      <c r="U17" s="84"/>
      <c r="V17" s="84"/>
      <c r="W17" s="84"/>
      <c r="X17" s="84"/>
      <c r="Y17" s="90"/>
      <c r="Z17" s="90">
        <f t="shared" si="1"/>
        <v>615084.19999999995</v>
      </c>
      <c r="AA17" s="90">
        <v>615084.19999999995</v>
      </c>
      <c r="AB17" s="90">
        <f t="shared" si="8"/>
        <v>-170440.69999999995</v>
      </c>
      <c r="AC17" s="90">
        <v>444643.5</v>
      </c>
      <c r="AD17" s="81"/>
      <c r="AE17" s="81"/>
      <c r="AF17" s="81"/>
      <c r="AG17" s="81"/>
    </row>
    <row r="18" spans="1:33" s="82" customFormat="1" ht="51" x14ac:dyDescent="0.2">
      <c r="A18" s="76" t="s">
        <v>192</v>
      </c>
      <c r="B18" s="77">
        <v>804</v>
      </c>
      <c r="C18" s="78" t="s">
        <v>193</v>
      </c>
      <c r="D18" s="78" t="s">
        <v>167</v>
      </c>
      <c r="E18" s="78" t="s">
        <v>168</v>
      </c>
      <c r="F18" s="78" t="s">
        <v>168</v>
      </c>
      <c r="G18" s="78"/>
      <c r="H18" s="79" t="e">
        <f>#REF!</f>
        <v>#REF!</v>
      </c>
      <c r="I18" s="79" t="e">
        <f>#REF!</f>
        <v>#REF!</v>
      </c>
      <c r="J18" s="79" t="e">
        <f>#REF!</f>
        <v>#REF!</v>
      </c>
      <c r="K18" s="79" t="e">
        <f>#REF!</f>
        <v>#REF!</v>
      </c>
      <c r="L18" s="79" t="e">
        <f>#REF!</f>
        <v>#REF!</v>
      </c>
      <c r="M18" s="79" t="e">
        <f>#REF!</f>
        <v>#REF!</v>
      </c>
      <c r="N18" s="79" t="e">
        <f>#REF!</f>
        <v>#REF!</v>
      </c>
      <c r="O18" s="79" t="e">
        <f>#REF!</f>
        <v>#REF!</v>
      </c>
      <c r="P18" s="80">
        <f>P22</f>
        <v>11250</v>
      </c>
      <c r="Q18" s="80" t="e">
        <f>#REF!+Q19</f>
        <v>#REF!</v>
      </c>
      <c r="R18" s="80" t="e">
        <f>#REF!+R19</f>
        <v>#REF!</v>
      </c>
      <c r="S18" s="80" t="e">
        <f>#REF!+S19</f>
        <v>#REF!</v>
      </c>
      <c r="T18" s="80" t="e">
        <f>#REF!+T19</f>
        <v>#REF!</v>
      </c>
      <c r="U18" s="80" t="e">
        <f>#REF!+U19</f>
        <v>#REF!</v>
      </c>
      <c r="V18" s="80" t="e">
        <f>#REF!+V19</f>
        <v>#REF!</v>
      </c>
      <c r="W18" s="80" t="e">
        <f>#REF!+W19</f>
        <v>#REF!</v>
      </c>
      <c r="X18" s="80" t="e">
        <f>#REF!+X19</f>
        <v>#REF!</v>
      </c>
      <c r="Y18" s="80" t="e">
        <f>#REF!+Y19</f>
        <v>#REF!</v>
      </c>
      <c r="Z18" s="80">
        <f t="shared" si="1"/>
        <v>0</v>
      </c>
      <c r="AA18" s="80">
        <f>AA22</f>
        <v>11250</v>
      </c>
      <c r="AB18" s="80">
        <f t="shared" ref="AB18:AC18" si="9">AB22</f>
        <v>0</v>
      </c>
      <c r="AC18" s="80">
        <f t="shared" si="9"/>
        <v>11250</v>
      </c>
      <c r="AD18" s="81"/>
      <c r="AE18" s="81"/>
      <c r="AF18" s="81"/>
      <c r="AG18" s="81"/>
    </row>
    <row r="19" spans="1:33" s="82" customFormat="1" hidden="1" x14ac:dyDescent="0.2">
      <c r="A19" s="76" t="s">
        <v>194</v>
      </c>
      <c r="B19" s="93">
        <v>804</v>
      </c>
      <c r="C19" s="78" t="s">
        <v>193</v>
      </c>
      <c r="D19" s="94" t="s">
        <v>195</v>
      </c>
      <c r="E19" s="78" t="s">
        <v>196</v>
      </c>
      <c r="F19" s="78" t="s">
        <v>197</v>
      </c>
      <c r="G19" s="78"/>
      <c r="H19" s="79">
        <f t="shared" ref="H19:X19" si="10">H20+H22</f>
        <v>35000</v>
      </c>
      <c r="I19" s="79">
        <f t="shared" si="10"/>
        <v>0</v>
      </c>
      <c r="J19" s="79">
        <f t="shared" si="10"/>
        <v>0</v>
      </c>
      <c r="K19" s="79">
        <f t="shared" si="10"/>
        <v>0</v>
      </c>
      <c r="L19" s="79">
        <f t="shared" si="10"/>
        <v>0</v>
      </c>
      <c r="M19" s="79">
        <f t="shared" si="10"/>
        <v>0</v>
      </c>
      <c r="N19" s="79">
        <f t="shared" si="10"/>
        <v>35000</v>
      </c>
      <c r="O19" s="79">
        <f t="shared" si="10"/>
        <v>28000</v>
      </c>
      <c r="P19" s="80">
        <f t="shared" si="10"/>
        <v>11250</v>
      </c>
      <c r="Q19" s="80">
        <f t="shared" si="10"/>
        <v>0</v>
      </c>
      <c r="R19" s="80">
        <f t="shared" si="10"/>
        <v>0</v>
      </c>
      <c r="S19" s="80">
        <f t="shared" si="10"/>
        <v>0</v>
      </c>
      <c r="T19" s="80">
        <f t="shared" si="10"/>
        <v>0</v>
      </c>
      <c r="U19" s="80">
        <f t="shared" si="10"/>
        <v>0</v>
      </c>
      <c r="V19" s="80">
        <f t="shared" si="10"/>
        <v>0</v>
      </c>
      <c r="W19" s="80">
        <f t="shared" si="10"/>
        <v>0</v>
      </c>
      <c r="X19" s="80">
        <f t="shared" si="10"/>
        <v>11250</v>
      </c>
      <c r="Y19" s="84"/>
      <c r="Z19" s="84">
        <f t="shared" si="1"/>
        <v>0</v>
      </c>
      <c r="AA19" s="80">
        <f>AA20+AA22</f>
        <v>11250</v>
      </c>
      <c r="AB19" s="80">
        <f t="shared" ref="AB19:AC19" si="11">AB20+AB22</f>
        <v>1</v>
      </c>
      <c r="AC19" s="80">
        <f t="shared" si="11"/>
        <v>11252</v>
      </c>
      <c r="AD19" s="81"/>
      <c r="AE19" s="81"/>
      <c r="AF19" s="81"/>
    </row>
    <row r="20" spans="1:33" s="82" customFormat="1" hidden="1" x14ac:dyDescent="0.2">
      <c r="A20" s="87" t="s">
        <v>198</v>
      </c>
      <c r="B20" s="71">
        <v>804</v>
      </c>
      <c r="C20" s="89" t="s">
        <v>193</v>
      </c>
      <c r="D20" s="89" t="s">
        <v>195</v>
      </c>
      <c r="E20" s="89" t="s">
        <v>196</v>
      </c>
      <c r="F20" s="89" t="s">
        <v>199</v>
      </c>
      <c r="G20" s="89"/>
      <c r="H20" s="84">
        <f t="shared" ref="H20:X20" si="12">H21</f>
        <v>0</v>
      </c>
      <c r="I20" s="84">
        <f t="shared" si="12"/>
        <v>0</v>
      </c>
      <c r="J20" s="84">
        <f t="shared" si="12"/>
        <v>0</v>
      </c>
      <c r="K20" s="84">
        <f t="shared" si="12"/>
        <v>0</v>
      </c>
      <c r="L20" s="84">
        <f t="shared" si="12"/>
        <v>0</v>
      </c>
      <c r="M20" s="84">
        <f t="shared" si="12"/>
        <v>0</v>
      </c>
      <c r="N20" s="84">
        <f t="shared" si="12"/>
        <v>0</v>
      </c>
      <c r="O20" s="84">
        <f t="shared" si="12"/>
        <v>0</v>
      </c>
      <c r="P20" s="90">
        <f t="shared" si="12"/>
        <v>0</v>
      </c>
      <c r="Q20" s="90">
        <f t="shared" si="12"/>
        <v>0</v>
      </c>
      <c r="R20" s="90">
        <f t="shared" si="12"/>
        <v>0</v>
      </c>
      <c r="S20" s="90">
        <f t="shared" si="12"/>
        <v>0</v>
      </c>
      <c r="T20" s="90">
        <f t="shared" si="12"/>
        <v>0</v>
      </c>
      <c r="U20" s="90">
        <f t="shared" si="12"/>
        <v>0</v>
      </c>
      <c r="V20" s="90">
        <f t="shared" si="12"/>
        <v>0</v>
      </c>
      <c r="W20" s="90">
        <f t="shared" si="12"/>
        <v>0</v>
      </c>
      <c r="X20" s="90">
        <f t="shared" si="12"/>
        <v>0</v>
      </c>
      <c r="Y20" s="84"/>
      <c r="Z20" s="84">
        <f t="shared" si="1"/>
        <v>0</v>
      </c>
      <c r="AA20" s="90">
        <f>AA21</f>
        <v>0</v>
      </c>
      <c r="AB20" s="90">
        <f t="shared" ref="AB20:AC20" si="13">AB21</f>
        <v>1</v>
      </c>
      <c r="AC20" s="90">
        <f t="shared" si="13"/>
        <v>2</v>
      </c>
      <c r="AD20" s="81"/>
      <c r="AE20" s="81"/>
      <c r="AF20" s="81"/>
    </row>
    <row r="21" spans="1:33" s="82" customFormat="1" ht="38.25" hidden="1" x14ac:dyDescent="0.2">
      <c r="A21" s="92" t="s">
        <v>200</v>
      </c>
      <c r="B21" s="95"/>
      <c r="C21" s="89"/>
      <c r="D21" s="89"/>
      <c r="E21" s="89"/>
      <c r="F21" s="89"/>
      <c r="G21" s="89" t="s">
        <v>201</v>
      </c>
      <c r="H21" s="84">
        <v>0</v>
      </c>
      <c r="I21" s="84">
        <f>SUM(J21:M21)</f>
        <v>0</v>
      </c>
      <c r="J21" s="84">
        <v>0</v>
      </c>
      <c r="K21" s="84">
        <v>0</v>
      </c>
      <c r="L21" s="84">
        <v>0</v>
      </c>
      <c r="M21" s="84">
        <v>0</v>
      </c>
      <c r="N21" s="84">
        <f>H21+I21</f>
        <v>0</v>
      </c>
      <c r="O21" s="84">
        <v>0</v>
      </c>
      <c r="P21" s="90">
        <v>0</v>
      </c>
      <c r="Q21" s="84">
        <f t="shared" ref="Q21:Q27" si="14">R21+S21+T21+U21+V21</f>
        <v>0</v>
      </c>
      <c r="R21" s="84">
        <v>0</v>
      </c>
      <c r="S21" s="84"/>
      <c r="T21" s="84"/>
      <c r="U21" s="84"/>
      <c r="V21" s="84"/>
      <c r="W21" s="84"/>
      <c r="X21" s="84">
        <f>P21+Q21</f>
        <v>0</v>
      </c>
      <c r="Y21" s="84"/>
      <c r="Z21" s="84">
        <f t="shared" si="1"/>
        <v>0</v>
      </c>
      <c r="AA21" s="90">
        <v>0</v>
      </c>
      <c r="AB21" s="90">
        <v>1</v>
      </c>
      <c r="AC21" s="90">
        <v>2</v>
      </c>
      <c r="AD21" s="81"/>
      <c r="AE21" s="81"/>
      <c r="AF21" s="81"/>
    </row>
    <row r="22" spans="1:33" s="99" customFormat="1" x14ac:dyDescent="0.2">
      <c r="A22" s="76" t="s">
        <v>202</v>
      </c>
      <c r="B22" s="93">
        <v>804</v>
      </c>
      <c r="C22" s="94" t="s">
        <v>193</v>
      </c>
      <c r="D22" s="94" t="s">
        <v>195</v>
      </c>
      <c r="E22" s="94" t="s">
        <v>168</v>
      </c>
      <c r="F22" s="94" t="s">
        <v>203</v>
      </c>
      <c r="G22" s="94"/>
      <c r="H22" s="96">
        <f t="shared" ref="H22:O22" si="15">SUM(H23:H25)</f>
        <v>35000</v>
      </c>
      <c r="I22" s="79">
        <f t="shared" si="15"/>
        <v>0</v>
      </c>
      <c r="J22" s="79">
        <f t="shared" si="15"/>
        <v>0</v>
      </c>
      <c r="K22" s="79">
        <f t="shared" si="15"/>
        <v>0</v>
      </c>
      <c r="L22" s="79">
        <f t="shared" si="15"/>
        <v>0</v>
      </c>
      <c r="M22" s="79">
        <f t="shared" si="15"/>
        <v>0</v>
      </c>
      <c r="N22" s="79">
        <f t="shared" si="15"/>
        <v>35000</v>
      </c>
      <c r="O22" s="96">
        <f t="shared" si="15"/>
        <v>28000</v>
      </c>
      <c r="P22" s="97">
        <f>P24+P25+P27</f>
        <v>11250</v>
      </c>
      <c r="Q22" s="84">
        <f t="shared" si="14"/>
        <v>0</v>
      </c>
      <c r="R22" s="97">
        <f t="shared" ref="R22:Y22" si="16">R24+R25+R27</f>
        <v>0</v>
      </c>
      <c r="S22" s="97">
        <f t="shared" si="16"/>
        <v>0</v>
      </c>
      <c r="T22" s="97">
        <f t="shared" si="16"/>
        <v>0</v>
      </c>
      <c r="U22" s="97">
        <f t="shared" si="16"/>
        <v>0</v>
      </c>
      <c r="V22" s="97">
        <f t="shared" si="16"/>
        <v>0</v>
      </c>
      <c r="W22" s="97">
        <f t="shared" si="16"/>
        <v>0</v>
      </c>
      <c r="X22" s="97">
        <f t="shared" si="16"/>
        <v>11250</v>
      </c>
      <c r="Y22" s="97" t="e">
        <f t="shared" si="16"/>
        <v>#VALUE!</v>
      </c>
      <c r="Z22" s="97">
        <f t="shared" si="1"/>
        <v>0</v>
      </c>
      <c r="AA22" s="97">
        <f>AA24+AA25+AA27</f>
        <v>11250</v>
      </c>
      <c r="AB22" s="97">
        <f t="shared" ref="AB22:AC22" si="17">AB24+AB25+AB27</f>
        <v>0</v>
      </c>
      <c r="AC22" s="97">
        <f t="shared" si="17"/>
        <v>11250</v>
      </c>
      <c r="AD22" s="98"/>
      <c r="AE22" s="98"/>
      <c r="AF22" s="98"/>
    </row>
    <row r="23" spans="1:33" s="82" customFormat="1" hidden="1" x14ac:dyDescent="0.2">
      <c r="A23" s="87" t="s">
        <v>204</v>
      </c>
      <c r="B23" s="71"/>
      <c r="C23" s="89"/>
      <c r="D23" s="89"/>
      <c r="E23" s="89" t="s">
        <v>196</v>
      </c>
      <c r="F23" s="89"/>
      <c r="G23" s="89" t="s">
        <v>205</v>
      </c>
      <c r="H23" s="84">
        <v>5000</v>
      </c>
      <c r="I23" s="84">
        <f>SUM(J23:M23)</f>
        <v>0</v>
      </c>
      <c r="J23" s="84"/>
      <c r="K23" s="84"/>
      <c r="L23" s="84"/>
      <c r="M23" s="84"/>
      <c r="N23" s="84">
        <f>H23+I23</f>
        <v>5000</v>
      </c>
      <c r="O23" s="84">
        <f>5000*80%</f>
        <v>4000</v>
      </c>
      <c r="P23" s="90">
        <v>0</v>
      </c>
      <c r="Q23" s="84">
        <f t="shared" si="14"/>
        <v>0</v>
      </c>
      <c r="R23" s="84"/>
      <c r="S23" s="84"/>
      <c r="T23" s="84"/>
      <c r="U23" s="84"/>
      <c r="V23" s="84"/>
      <c r="W23" s="84"/>
      <c r="X23" s="84"/>
      <c r="Y23" s="84"/>
      <c r="Z23" s="84">
        <f t="shared" si="1"/>
        <v>0</v>
      </c>
      <c r="AA23" s="90">
        <v>0</v>
      </c>
      <c r="AB23" s="90"/>
      <c r="AC23" s="90">
        <v>0</v>
      </c>
      <c r="AD23" s="81"/>
      <c r="AE23" s="81"/>
      <c r="AF23" s="81"/>
    </row>
    <row r="24" spans="1:33" s="82" customFormat="1" ht="25.5" x14ac:dyDescent="0.2">
      <c r="A24" s="92" t="s">
        <v>206</v>
      </c>
      <c r="B24" s="95">
        <v>804</v>
      </c>
      <c r="C24" s="89" t="s">
        <v>193</v>
      </c>
      <c r="D24" s="89" t="s">
        <v>195</v>
      </c>
      <c r="E24" s="89" t="s">
        <v>207</v>
      </c>
      <c r="F24" s="89" t="s">
        <v>208</v>
      </c>
      <c r="G24" s="89"/>
      <c r="H24" s="84">
        <v>20000</v>
      </c>
      <c r="I24" s="84">
        <f>SUM(J24:M24)</f>
        <v>0</v>
      </c>
      <c r="J24" s="84"/>
      <c r="K24" s="84"/>
      <c r="L24" s="84"/>
      <c r="M24" s="84"/>
      <c r="N24" s="84">
        <f>H24+I24</f>
        <v>20000</v>
      </c>
      <c r="O24" s="84">
        <f>20000*80%</f>
        <v>16000</v>
      </c>
      <c r="P24" s="90">
        <v>6250</v>
      </c>
      <c r="Q24" s="84">
        <f t="shared" si="14"/>
        <v>0</v>
      </c>
      <c r="R24" s="84">
        <v>0</v>
      </c>
      <c r="S24" s="84"/>
      <c r="T24" s="84"/>
      <c r="U24" s="84">
        <v>0</v>
      </c>
      <c r="V24" s="84"/>
      <c r="W24" s="84"/>
      <c r="X24" s="84">
        <f>P24+Q24</f>
        <v>6250</v>
      </c>
      <c r="Y24" s="84" t="s">
        <v>209</v>
      </c>
      <c r="Z24" s="84">
        <f t="shared" si="1"/>
        <v>-4243</v>
      </c>
      <c r="AA24" s="90">
        <v>2007</v>
      </c>
      <c r="AB24" s="90">
        <f t="shared" ref="AB24:AB27" si="18">AC24-AA24</f>
        <v>0</v>
      </c>
      <c r="AC24" s="90">
        <v>2007</v>
      </c>
      <c r="AD24" s="81"/>
      <c r="AE24" s="81"/>
      <c r="AF24" s="81"/>
    </row>
    <row r="25" spans="1:33" s="82" customFormat="1" ht="25.5" x14ac:dyDescent="0.2">
      <c r="A25" s="92" t="s">
        <v>206</v>
      </c>
      <c r="B25" s="95">
        <v>804</v>
      </c>
      <c r="C25" s="89" t="s">
        <v>193</v>
      </c>
      <c r="D25" s="89" t="s">
        <v>195</v>
      </c>
      <c r="E25" s="89" t="s">
        <v>196</v>
      </c>
      <c r="F25" s="89" t="s">
        <v>208</v>
      </c>
      <c r="G25" s="89"/>
      <c r="H25" s="84">
        <v>10000</v>
      </c>
      <c r="I25" s="84">
        <f>SUM(J25:M25)</f>
        <v>0</v>
      </c>
      <c r="J25" s="84"/>
      <c r="K25" s="84"/>
      <c r="L25" s="84"/>
      <c r="M25" s="84"/>
      <c r="N25" s="84">
        <f>H25+I25</f>
        <v>10000</v>
      </c>
      <c r="O25" s="84">
        <f>10000*80%</f>
        <v>8000</v>
      </c>
      <c r="P25" s="90">
        <v>5000</v>
      </c>
      <c r="Q25" s="84">
        <f t="shared" si="14"/>
        <v>0</v>
      </c>
      <c r="R25" s="84">
        <v>0</v>
      </c>
      <c r="S25" s="84"/>
      <c r="T25" s="84"/>
      <c r="U25" s="84"/>
      <c r="V25" s="84"/>
      <c r="W25" s="84"/>
      <c r="X25" s="84">
        <f>P25+Q25</f>
        <v>5000</v>
      </c>
      <c r="Y25" s="84" t="s">
        <v>209</v>
      </c>
      <c r="Z25" s="84">
        <f t="shared" si="1"/>
        <v>4243</v>
      </c>
      <c r="AA25" s="90">
        <v>9243</v>
      </c>
      <c r="AB25" s="90">
        <f t="shared" si="18"/>
        <v>0</v>
      </c>
      <c r="AC25" s="90">
        <v>9243</v>
      </c>
      <c r="AD25" s="81"/>
      <c r="AE25" s="81"/>
      <c r="AF25" s="81"/>
    </row>
    <row r="26" spans="1:33" s="82" customFormat="1" ht="25.5" hidden="1" x14ac:dyDescent="0.2">
      <c r="A26" s="92" t="s">
        <v>210</v>
      </c>
      <c r="B26" s="95"/>
      <c r="C26" s="89"/>
      <c r="D26" s="89"/>
      <c r="E26" s="89" t="s">
        <v>196</v>
      </c>
      <c r="F26" s="89"/>
      <c r="G26" s="89" t="s">
        <v>205</v>
      </c>
      <c r="H26" s="84"/>
      <c r="I26" s="84"/>
      <c r="J26" s="84"/>
      <c r="K26" s="84"/>
      <c r="L26" s="84"/>
      <c r="M26" s="84"/>
      <c r="N26" s="84"/>
      <c r="O26" s="84"/>
      <c r="P26" s="90">
        <v>0</v>
      </c>
      <c r="Q26" s="84">
        <f t="shared" si="14"/>
        <v>0</v>
      </c>
      <c r="R26" s="84">
        <v>0</v>
      </c>
      <c r="S26" s="84"/>
      <c r="T26" s="84"/>
      <c r="U26" s="84"/>
      <c r="V26" s="84"/>
      <c r="W26" s="84"/>
      <c r="X26" s="84">
        <f>P26+Q26</f>
        <v>0</v>
      </c>
      <c r="Y26" s="84"/>
      <c r="Z26" s="84">
        <f t="shared" si="1"/>
        <v>0</v>
      </c>
      <c r="AA26" s="90">
        <v>0</v>
      </c>
      <c r="AB26" s="90">
        <f t="shared" si="18"/>
        <v>0</v>
      </c>
      <c r="AC26" s="90">
        <v>0</v>
      </c>
      <c r="AD26" s="81"/>
      <c r="AE26" s="81"/>
      <c r="AF26" s="81"/>
    </row>
    <row r="27" spans="1:33" s="82" customFormat="1" hidden="1" x14ac:dyDescent="0.2">
      <c r="A27" s="92" t="s">
        <v>211</v>
      </c>
      <c r="B27" s="95"/>
      <c r="C27" s="89"/>
      <c r="D27" s="89"/>
      <c r="E27" s="89" t="s">
        <v>196</v>
      </c>
      <c r="F27" s="89" t="s">
        <v>212</v>
      </c>
      <c r="G27" s="89" t="s">
        <v>213</v>
      </c>
      <c r="H27" s="84"/>
      <c r="I27" s="84"/>
      <c r="J27" s="84"/>
      <c r="K27" s="84"/>
      <c r="L27" s="84"/>
      <c r="M27" s="84"/>
      <c r="N27" s="84"/>
      <c r="O27" s="84"/>
      <c r="P27" s="90">
        <v>0</v>
      </c>
      <c r="Q27" s="84">
        <f t="shared" si="14"/>
        <v>0</v>
      </c>
      <c r="R27" s="84">
        <v>0</v>
      </c>
      <c r="S27" s="84"/>
      <c r="T27" s="84"/>
      <c r="U27" s="84"/>
      <c r="V27" s="84"/>
      <c r="W27" s="84"/>
      <c r="X27" s="84">
        <f>P27+Q27</f>
        <v>0</v>
      </c>
      <c r="Y27" s="84"/>
      <c r="Z27" s="84">
        <f t="shared" si="1"/>
        <v>0</v>
      </c>
      <c r="AA27" s="90">
        <v>0</v>
      </c>
      <c r="AB27" s="90">
        <f t="shared" si="18"/>
        <v>0</v>
      </c>
      <c r="AC27" s="90">
        <v>0</v>
      </c>
      <c r="AD27" s="81"/>
      <c r="AE27" s="81"/>
      <c r="AF27" s="81"/>
    </row>
    <row r="28" spans="1:33" s="82" customFormat="1" ht="38.25" x14ac:dyDescent="0.2">
      <c r="A28" s="83" t="s">
        <v>214</v>
      </c>
      <c r="B28" s="77">
        <v>804</v>
      </c>
      <c r="C28" s="78" t="s">
        <v>215</v>
      </c>
      <c r="D28" s="78" t="s">
        <v>167</v>
      </c>
      <c r="E28" s="78" t="s">
        <v>168</v>
      </c>
      <c r="F28" s="78" t="s">
        <v>168</v>
      </c>
      <c r="G28" s="78"/>
      <c r="H28" s="79">
        <f t="shared" ref="H28:Y29" si="19">H29</f>
        <v>16030184.85</v>
      </c>
      <c r="I28" s="79">
        <f t="shared" si="19"/>
        <v>666515.07000000007</v>
      </c>
      <c r="J28" s="79">
        <f t="shared" si="19"/>
        <v>-90223.260000000009</v>
      </c>
      <c r="K28" s="79">
        <f t="shared" si="19"/>
        <v>0</v>
      </c>
      <c r="L28" s="79">
        <f t="shared" si="19"/>
        <v>0</v>
      </c>
      <c r="M28" s="79">
        <f t="shared" si="19"/>
        <v>756738.33000000007</v>
      </c>
      <c r="N28" s="79">
        <f t="shared" si="19"/>
        <v>16676699.92</v>
      </c>
      <c r="O28" s="79">
        <f t="shared" si="19"/>
        <v>15429895.472000001</v>
      </c>
      <c r="P28" s="80">
        <f t="shared" si="19"/>
        <v>16237634.939999999</v>
      </c>
      <c r="Q28" s="80" t="e">
        <f t="shared" si="19"/>
        <v>#REF!</v>
      </c>
      <c r="R28" s="80" t="e">
        <f t="shared" si="19"/>
        <v>#REF!</v>
      </c>
      <c r="S28" s="80" t="e">
        <f t="shared" si="19"/>
        <v>#REF!</v>
      </c>
      <c r="T28" s="80" t="e">
        <f t="shared" si="19"/>
        <v>#REF!</v>
      </c>
      <c r="U28" s="80" t="e">
        <f t="shared" si="19"/>
        <v>#REF!</v>
      </c>
      <c r="V28" s="80" t="e">
        <f t="shared" si="19"/>
        <v>#REF!</v>
      </c>
      <c r="W28" s="80" t="e">
        <f t="shared" si="19"/>
        <v>#REF!</v>
      </c>
      <c r="X28" s="80" t="e">
        <f t="shared" si="19"/>
        <v>#REF!</v>
      </c>
      <c r="Y28" s="80">
        <f t="shared" si="19"/>
        <v>0</v>
      </c>
      <c r="Z28" s="80">
        <f t="shared" si="1"/>
        <v>519604.33999999799</v>
      </c>
      <c r="AA28" s="80">
        <f>AA29</f>
        <v>16757239.279999997</v>
      </c>
      <c r="AB28" s="80">
        <f t="shared" ref="AB28:AC29" si="20">AB29</f>
        <v>1616912.780000001</v>
      </c>
      <c r="AC28" s="80">
        <f t="shared" si="20"/>
        <v>18374152.059999999</v>
      </c>
      <c r="AD28" s="81"/>
      <c r="AE28" s="81"/>
      <c r="AF28" s="81"/>
    </row>
    <row r="29" spans="1:33" s="82" customFormat="1" ht="25.5" x14ac:dyDescent="0.2">
      <c r="A29" s="76" t="s">
        <v>216</v>
      </c>
      <c r="B29" s="93">
        <v>804</v>
      </c>
      <c r="C29" s="78" t="s">
        <v>215</v>
      </c>
      <c r="D29" s="78" t="s">
        <v>195</v>
      </c>
      <c r="E29" s="78" t="s">
        <v>168</v>
      </c>
      <c r="F29" s="78" t="s">
        <v>168</v>
      </c>
      <c r="G29" s="78"/>
      <c r="H29" s="79">
        <f t="shared" si="19"/>
        <v>16030184.85</v>
      </c>
      <c r="I29" s="79">
        <f t="shared" si="19"/>
        <v>666515.07000000007</v>
      </c>
      <c r="J29" s="79">
        <f t="shared" si="19"/>
        <v>-90223.260000000009</v>
      </c>
      <c r="K29" s="79">
        <f t="shared" si="19"/>
        <v>0</v>
      </c>
      <c r="L29" s="79">
        <f t="shared" si="19"/>
        <v>0</v>
      </c>
      <c r="M29" s="79">
        <f t="shared" si="19"/>
        <v>756738.33000000007</v>
      </c>
      <c r="N29" s="79">
        <f t="shared" si="19"/>
        <v>16676699.92</v>
      </c>
      <c r="O29" s="79">
        <f t="shared" si="19"/>
        <v>15429895.472000001</v>
      </c>
      <c r="P29" s="80">
        <f t="shared" si="19"/>
        <v>16237634.939999999</v>
      </c>
      <c r="Q29" s="80" t="e">
        <f t="shared" si="19"/>
        <v>#REF!</v>
      </c>
      <c r="R29" s="80" t="e">
        <f t="shared" si="19"/>
        <v>#REF!</v>
      </c>
      <c r="S29" s="80" t="e">
        <f t="shared" si="19"/>
        <v>#REF!</v>
      </c>
      <c r="T29" s="80" t="e">
        <f t="shared" si="19"/>
        <v>#REF!</v>
      </c>
      <c r="U29" s="80" t="e">
        <f t="shared" si="19"/>
        <v>#REF!</v>
      </c>
      <c r="V29" s="80" t="e">
        <f t="shared" si="19"/>
        <v>#REF!</v>
      </c>
      <c r="W29" s="80" t="e">
        <f t="shared" si="19"/>
        <v>#REF!</v>
      </c>
      <c r="X29" s="80" t="e">
        <f t="shared" si="19"/>
        <v>#REF!</v>
      </c>
      <c r="Y29" s="84"/>
      <c r="Z29" s="84">
        <f t="shared" si="1"/>
        <v>519604.33999999799</v>
      </c>
      <c r="AA29" s="80">
        <f>AA30</f>
        <v>16757239.279999997</v>
      </c>
      <c r="AB29" s="80">
        <f t="shared" si="20"/>
        <v>1616912.780000001</v>
      </c>
      <c r="AC29" s="80">
        <f t="shared" si="20"/>
        <v>18374152.059999999</v>
      </c>
      <c r="AD29" s="81"/>
      <c r="AE29" s="81"/>
      <c r="AF29" s="81"/>
    </row>
    <row r="30" spans="1:33" s="82" customFormat="1" x14ac:dyDescent="0.2">
      <c r="A30" s="76" t="s">
        <v>217</v>
      </c>
      <c r="B30" s="93">
        <v>804</v>
      </c>
      <c r="C30" s="78" t="s">
        <v>215</v>
      </c>
      <c r="D30" s="94" t="s">
        <v>195</v>
      </c>
      <c r="E30" s="78" t="s">
        <v>168</v>
      </c>
      <c r="F30" s="78" t="s">
        <v>168</v>
      </c>
      <c r="G30" s="78"/>
      <c r="H30" s="79">
        <f t="shared" ref="H30:X30" si="21">H31+H40+H75+H80+H72</f>
        <v>16030184.85</v>
      </c>
      <c r="I30" s="79">
        <f t="shared" si="21"/>
        <v>666515.07000000007</v>
      </c>
      <c r="J30" s="79">
        <f t="shared" si="21"/>
        <v>-90223.260000000009</v>
      </c>
      <c r="K30" s="79">
        <f t="shared" si="21"/>
        <v>0</v>
      </c>
      <c r="L30" s="79">
        <f t="shared" si="21"/>
        <v>0</v>
      </c>
      <c r="M30" s="79">
        <f t="shared" si="21"/>
        <v>756738.33000000007</v>
      </c>
      <c r="N30" s="79">
        <f t="shared" si="21"/>
        <v>16676699.92</v>
      </c>
      <c r="O30" s="79">
        <f t="shared" si="21"/>
        <v>15429895.472000001</v>
      </c>
      <c r="P30" s="80">
        <f t="shared" si="21"/>
        <v>16237634.939999999</v>
      </c>
      <c r="Q30" s="80" t="e">
        <f t="shared" si="21"/>
        <v>#REF!</v>
      </c>
      <c r="R30" s="80" t="e">
        <f t="shared" si="21"/>
        <v>#REF!</v>
      </c>
      <c r="S30" s="80" t="e">
        <f t="shared" si="21"/>
        <v>#REF!</v>
      </c>
      <c r="T30" s="80" t="e">
        <f t="shared" si="21"/>
        <v>#REF!</v>
      </c>
      <c r="U30" s="80" t="e">
        <f t="shared" si="21"/>
        <v>#REF!</v>
      </c>
      <c r="V30" s="80" t="e">
        <f t="shared" si="21"/>
        <v>#REF!</v>
      </c>
      <c r="W30" s="80" t="e">
        <f t="shared" si="21"/>
        <v>#REF!</v>
      </c>
      <c r="X30" s="80" t="e">
        <f t="shared" si="21"/>
        <v>#REF!</v>
      </c>
      <c r="Y30" s="84"/>
      <c r="Z30" s="84">
        <f t="shared" si="1"/>
        <v>519604.33999999799</v>
      </c>
      <c r="AA30" s="80">
        <f>AA31+AA40+AA75+AA80+AA72</f>
        <v>16757239.279999997</v>
      </c>
      <c r="AB30" s="80">
        <f t="shared" ref="AB30:AC30" si="22">AB31+AB40+AB75+AB80+AB72</f>
        <v>1616912.780000001</v>
      </c>
      <c r="AC30" s="80">
        <f t="shared" si="22"/>
        <v>18374152.059999999</v>
      </c>
      <c r="AD30" s="81"/>
      <c r="AE30" s="81"/>
      <c r="AF30" s="81"/>
    </row>
    <row r="31" spans="1:33" s="82" customFormat="1" x14ac:dyDescent="0.2">
      <c r="A31" s="76" t="s">
        <v>173</v>
      </c>
      <c r="B31" s="93">
        <v>804</v>
      </c>
      <c r="C31" s="78" t="s">
        <v>215</v>
      </c>
      <c r="D31" s="94" t="s">
        <v>195</v>
      </c>
      <c r="E31" s="78" t="s">
        <v>184</v>
      </c>
      <c r="F31" s="78" t="s">
        <v>174</v>
      </c>
      <c r="G31" s="78"/>
      <c r="H31" s="79">
        <f t="shared" ref="H31:O31" si="23">H32+H34+H38</f>
        <v>6446619.2599999998</v>
      </c>
      <c r="I31" s="79">
        <f t="shared" si="23"/>
        <v>-100555.1</v>
      </c>
      <c r="J31" s="79">
        <f t="shared" si="23"/>
        <v>-100555.1</v>
      </c>
      <c r="K31" s="79">
        <f t="shared" si="23"/>
        <v>0</v>
      </c>
      <c r="L31" s="79">
        <f t="shared" si="23"/>
        <v>0</v>
      </c>
      <c r="M31" s="79">
        <f t="shared" si="23"/>
        <v>0</v>
      </c>
      <c r="N31" s="79">
        <f t="shared" si="23"/>
        <v>6346064.1600000001</v>
      </c>
      <c r="O31" s="79">
        <f t="shared" si="23"/>
        <v>6446619.2599999998</v>
      </c>
      <c r="P31" s="80">
        <f>P32+P34+P38+P39+P33</f>
        <v>9149454.8599999994</v>
      </c>
      <c r="Q31" s="80" t="e">
        <f>Q32+Q34+Q38+Q39+#REF!</f>
        <v>#REF!</v>
      </c>
      <c r="R31" s="80" t="e">
        <f>R32+R34+R38+R39+#REF!</f>
        <v>#REF!</v>
      </c>
      <c r="S31" s="80" t="e">
        <f>S32+S34+S38+S39+#REF!</f>
        <v>#REF!</v>
      </c>
      <c r="T31" s="80" t="e">
        <f>T32+T34+T38+T39+#REF!</f>
        <v>#REF!</v>
      </c>
      <c r="U31" s="80" t="e">
        <f>U32+U34+U38+U39+#REF!</f>
        <v>#REF!</v>
      </c>
      <c r="V31" s="80" t="e">
        <f>V32+V34+V38+V39+#REF!</f>
        <v>#REF!</v>
      </c>
      <c r="W31" s="80" t="e">
        <f>W32+W34+W38+W39+#REF!</f>
        <v>#REF!</v>
      </c>
      <c r="X31" s="80" t="e">
        <f>X32+X34+X38+X39+#REF!</f>
        <v>#REF!</v>
      </c>
      <c r="Y31" s="84"/>
      <c r="Z31" s="84">
        <f t="shared" si="1"/>
        <v>0</v>
      </c>
      <c r="AA31" s="80">
        <f>AA32+AA34+AA38+AA39+AA33</f>
        <v>9149454.8599999994</v>
      </c>
      <c r="AB31" s="80">
        <f t="shared" ref="AB31" si="24">AB32+AB34+AB38+AB39+AB33</f>
        <v>105793.36000000045</v>
      </c>
      <c r="AC31" s="80">
        <f>AC32+AC34+AC38+AC39+AC33</f>
        <v>9255248.2200000007</v>
      </c>
      <c r="AD31" s="81"/>
      <c r="AE31" s="81"/>
      <c r="AF31" s="81"/>
    </row>
    <row r="32" spans="1:33" s="82" customFormat="1" x14ac:dyDescent="0.2">
      <c r="A32" s="87" t="s">
        <v>175</v>
      </c>
      <c r="B32" s="71">
        <v>804</v>
      </c>
      <c r="C32" s="89" t="s">
        <v>215</v>
      </c>
      <c r="D32" s="89" t="s">
        <v>195</v>
      </c>
      <c r="E32" s="89" t="s">
        <v>176</v>
      </c>
      <c r="F32" s="89" t="s">
        <v>177</v>
      </c>
      <c r="G32" s="89"/>
      <c r="H32" s="84">
        <f>4473514.99+47544.35</f>
        <v>4521059.34</v>
      </c>
      <c r="I32" s="84">
        <f>SUM(J32:M32)</f>
        <v>0</v>
      </c>
      <c r="J32" s="84">
        <v>0</v>
      </c>
      <c r="K32" s="84"/>
      <c r="L32" s="84">
        <v>0</v>
      </c>
      <c r="M32" s="84">
        <v>0</v>
      </c>
      <c r="N32" s="84">
        <f>H32+I32</f>
        <v>4521059.34</v>
      </c>
      <c r="O32" s="84">
        <f>4473514.99+47544.35</f>
        <v>4521059.34</v>
      </c>
      <c r="P32" s="90">
        <f>6643206.5</f>
        <v>6643206.5</v>
      </c>
      <c r="Q32" s="84">
        <f>R32+S32+T32+U32+V32</f>
        <v>0</v>
      </c>
      <c r="R32" s="84">
        <v>0</v>
      </c>
      <c r="S32" s="84">
        <v>0</v>
      </c>
      <c r="T32" s="84"/>
      <c r="U32" s="84">
        <v>0</v>
      </c>
      <c r="V32" s="84">
        <v>0</v>
      </c>
      <c r="W32" s="84"/>
      <c r="X32" s="84">
        <f>P32+Q32</f>
        <v>6643206.5</v>
      </c>
      <c r="Y32" s="90"/>
      <c r="Z32" s="90">
        <f t="shared" si="1"/>
        <v>-3436.8600000003353</v>
      </c>
      <c r="AA32" s="90">
        <v>6639769.6399999997</v>
      </c>
      <c r="AB32" s="90">
        <f t="shared" ref="AB32:AB78" si="25">AC32-AA32</f>
        <v>298221.81000000052</v>
      </c>
      <c r="AC32" s="90">
        <v>6937991.4500000002</v>
      </c>
      <c r="AD32" s="81"/>
      <c r="AE32" s="81"/>
      <c r="AF32" s="81"/>
    </row>
    <row r="33" spans="1:32" s="82" customFormat="1" ht="25.5" x14ac:dyDescent="0.2">
      <c r="A33" s="87" t="s">
        <v>181</v>
      </c>
      <c r="B33" s="71">
        <v>804</v>
      </c>
      <c r="C33" s="89" t="s">
        <v>215</v>
      </c>
      <c r="D33" s="89" t="s">
        <v>195</v>
      </c>
      <c r="E33" s="89" t="s">
        <v>176</v>
      </c>
      <c r="F33" s="89" t="s">
        <v>182</v>
      </c>
      <c r="G33" s="89"/>
      <c r="H33" s="84"/>
      <c r="I33" s="84"/>
      <c r="J33" s="84"/>
      <c r="K33" s="84"/>
      <c r="L33" s="84"/>
      <c r="M33" s="84"/>
      <c r="N33" s="84"/>
      <c r="O33" s="84"/>
      <c r="P33" s="90">
        <v>0</v>
      </c>
      <c r="Q33" s="84"/>
      <c r="R33" s="84"/>
      <c r="S33" s="84"/>
      <c r="T33" s="84"/>
      <c r="U33" s="84"/>
      <c r="V33" s="84"/>
      <c r="W33" s="84"/>
      <c r="X33" s="84"/>
      <c r="Y33" s="90"/>
      <c r="Z33" s="90">
        <f t="shared" si="1"/>
        <v>3436.86</v>
      </c>
      <c r="AA33" s="90">
        <v>3436.86</v>
      </c>
      <c r="AB33" s="90">
        <f t="shared" si="25"/>
        <v>16421.939999999999</v>
      </c>
      <c r="AC33" s="90">
        <v>19858.8</v>
      </c>
      <c r="AD33" s="81"/>
      <c r="AE33" s="81"/>
      <c r="AF33" s="81"/>
    </row>
    <row r="34" spans="1:32" s="82" customFormat="1" hidden="1" x14ac:dyDescent="0.2">
      <c r="A34" s="91" t="s">
        <v>218</v>
      </c>
      <c r="B34" s="71">
        <v>804</v>
      </c>
      <c r="C34" s="89" t="s">
        <v>215</v>
      </c>
      <c r="D34" s="89" t="s">
        <v>195</v>
      </c>
      <c r="E34" s="89" t="s">
        <v>184</v>
      </c>
      <c r="F34" s="89" t="s">
        <v>185</v>
      </c>
      <c r="G34" s="89" t="s">
        <v>188</v>
      </c>
      <c r="H34" s="84">
        <f t="shared" ref="H34:O34" si="26">H35+H37</f>
        <v>560200</v>
      </c>
      <c r="I34" s="84">
        <f t="shared" si="26"/>
        <v>-100555.1</v>
      </c>
      <c r="J34" s="84">
        <f t="shared" si="26"/>
        <v>-100555.1</v>
      </c>
      <c r="K34" s="84">
        <f t="shared" si="26"/>
        <v>0</v>
      </c>
      <c r="L34" s="84">
        <f t="shared" si="26"/>
        <v>0</v>
      </c>
      <c r="M34" s="84">
        <f t="shared" si="26"/>
        <v>0</v>
      </c>
      <c r="N34" s="84">
        <f t="shared" si="26"/>
        <v>459644.9</v>
      </c>
      <c r="O34" s="84">
        <f t="shared" si="26"/>
        <v>560200</v>
      </c>
      <c r="P34" s="90">
        <v>0</v>
      </c>
      <c r="Q34" s="90">
        <f>R34+T34+U34+V34</f>
        <v>0</v>
      </c>
      <c r="R34" s="90">
        <v>0</v>
      </c>
      <c r="S34" s="90">
        <f>S35+S37+S36</f>
        <v>0</v>
      </c>
      <c r="T34" s="90">
        <f>T35+T37+T36</f>
        <v>0</v>
      </c>
      <c r="U34" s="90">
        <v>0</v>
      </c>
      <c r="V34" s="90">
        <f>V35+V37+V36</f>
        <v>0</v>
      </c>
      <c r="W34" s="90">
        <f>W35+W37+W36</f>
        <v>0</v>
      </c>
      <c r="X34" s="84">
        <f t="shared" ref="X34:X39" si="27">P34+Q34</f>
        <v>0</v>
      </c>
      <c r="Y34" s="84"/>
      <c r="Z34" s="84">
        <f t="shared" si="1"/>
        <v>0</v>
      </c>
      <c r="AA34" s="90">
        <v>0</v>
      </c>
      <c r="AB34" s="90">
        <f t="shared" si="25"/>
        <v>0</v>
      </c>
      <c r="AC34" s="90">
        <v>0</v>
      </c>
      <c r="AD34" s="81"/>
      <c r="AE34" s="81"/>
      <c r="AF34" s="81"/>
    </row>
    <row r="35" spans="1:32" s="82" customFormat="1" hidden="1" x14ac:dyDescent="0.2">
      <c r="A35" s="91" t="s">
        <v>218</v>
      </c>
      <c r="B35" s="101"/>
      <c r="C35" s="89"/>
      <c r="D35" s="89"/>
      <c r="E35" s="89" t="s">
        <v>219</v>
      </c>
      <c r="F35" s="89"/>
      <c r="G35" s="89" t="s">
        <v>188</v>
      </c>
      <c r="H35" s="84">
        <v>10200</v>
      </c>
      <c r="I35" s="84">
        <f>SUM(J35:M35)</f>
        <v>0</v>
      </c>
      <c r="J35" s="84"/>
      <c r="K35" s="84"/>
      <c r="L35" s="84"/>
      <c r="M35" s="84"/>
      <c r="N35" s="84">
        <f>H35+I35</f>
        <v>10200</v>
      </c>
      <c r="O35" s="84">
        <v>10200</v>
      </c>
      <c r="P35" s="90">
        <v>0</v>
      </c>
      <c r="Q35" s="84">
        <f>R35+S35+T35+U35+V35</f>
        <v>0</v>
      </c>
      <c r="R35" s="84">
        <v>0</v>
      </c>
      <c r="S35" s="84"/>
      <c r="T35" s="84"/>
      <c r="U35" s="84">
        <v>0</v>
      </c>
      <c r="V35" s="84"/>
      <c r="W35" s="84"/>
      <c r="X35" s="84">
        <f t="shared" si="27"/>
        <v>0</v>
      </c>
      <c r="Y35" s="84"/>
      <c r="Z35" s="84">
        <f t="shared" si="1"/>
        <v>0</v>
      </c>
      <c r="AA35" s="90">
        <v>0</v>
      </c>
      <c r="AB35" s="90">
        <f t="shared" si="25"/>
        <v>0</v>
      </c>
      <c r="AC35" s="90">
        <v>0</v>
      </c>
      <c r="AD35" s="81"/>
      <c r="AE35" s="81"/>
      <c r="AF35" s="81"/>
    </row>
    <row r="36" spans="1:32" s="82" customFormat="1" hidden="1" x14ac:dyDescent="0.2">
      <c r="A36" s="91"/>
      <c r="B36" s="101"/>
      <c r="C36" s="89"/>
      <c r="D36" s="89"/>
      <c r="E36" s="89"/>
      <c r="F36" s="89" t="s">
        <v>187</v>
      </c>
      <c r="G36" s="89" t="s">
        <v>188</v>
      </c>
      <c r="H36" s="84"/>
      <c r="I36" s="84"/>
      <c r="J36" s="84"/>
      <c r="K36" s="84"/>
      <c r="L36" s="84"/>
      <c r="M36" s="84"/>
      <c r="N36" s="84"/>
      <c r="O36" s="84"/>
      <c r="P36" s="90">
        <v>0</v>
      </c>
      <c r="Q36" s="84"/>
      <c r="R36" s="84"/>
      <c r="S36" s="84"/>
      <c r="T36" s="84"/>
      <c r="U36" s="84"/>
      <c r="V36" s="84"/>
      <c r="W36" s="84"/>
      <c r="X36" s="84">
        <f t="shared" si="27"/>
        <v>0</v>
      </c>
      <c r="Y36" s="84"/>
      <c r="Z36" s="84">
        <f t="shared" si="1"/>
        <v>0</v>
      </c>
      <c r="AA36" s="90">
        <v>0</v>
      </c>
      <c r="AB36" s="90">
        <f t="shared" si="25"/>
        <v>0</v>
      </c>
      <c r="AC36" s="90">
        <v>0</v>
      </c>
      <c r="AD36" s="81"/>
      <c r="AE36" s="81"/>
      <c r="AF36" s="81"/>
    </row>
    <row r="37" spans="1:32" s="82" customFormat="1" hidden="1" x14ac:dyDescent="0.2">
      <c r="A37" s="92" t="s">
        <v>220</v>
      </c>
      <c r="B37" s="95"/>
      <c r="C37" s="89"/>
      <c r="D37" s="89"/>
      <c r="E37" s="89"/>
      <c r="F37" s="89" t="s">
        <v>221</v>
      </c>
      <c r="G37" s="89" t="s">
        <v>222</v>
      </c>
      <c r="H37" s="84">
        <v>550000</v>
      </c>
      <c r="I37" s="84">
        <f>SUM(J37:M37)</f>
        <v>-100555.1</v>
      </c>
      <c r="J37" s="84">
        <f>-121568.55+21013.45</f>
        <v>-100555.1</v>
      </c>
      <c r="K37" s="84"/>
      <c r="L37" s="84"/>
      <c r="M37" s="84"/>
      <c r="N37" s="84">
        <f>H37+I37</f>
        <v>449444.9</v>
      </c>
      <c r="O37" s="84">
        <v>550000</v>
      </c>
      <c r="P37" s="90">
        <v>0</v>
      </c>
      <c r="Q37" s="84">
        <f>R37+S37+T37+U37+V37</f>
        <v>0</v>
      </c>
      <c r="R37" s="84">
        <v>0</v>
      </c>
      <c r="S37" s="84"/>
      <c r="T37" s="84"/>
      <c r="U37" s="84">
        <v>0</v>
      </c>
      <c r="V37" s="84"/>
      <c r="W37" s="84"/>
      <c r="X37" s="84">
        <f t="shared" si="27"/>
        <v>0</v>
      </c>
      <c r="Y37" s="84"/>
      <c r="Z37" s="84">
        <f t="shared" si="1"/>
        <v>0</v>
      </c>
      <c r="AA37" s="90">
        <v>0</v>
      </c>
      <c r="AB37" s="90">
        <f t="shared" si="25"/>
        <v>0</v>
      </c>
      <c r="AC37" s="90">
        <v>0</v>
      </c>
      <c r="AD37" s="81"/>
      <c r="AE37" s="81"/>
      <c r="AF37" s="81"/>
    </row>
    <row r="38" spans="1:32" s="82" customFormat="1" x14ac:dyDescent="0.2">
      <c r="A38" s="87" t="s">
        <v>178</v>
      </c>
      <c r="B38" s="71">
        <v>804</v>
      </c>
      <c r="C38" s="89" t="s">
        <v>215</v>
      </c>
      <c r="D38" s="89" t="s">
        <v>195</v>
      </c>
      <c r="E38" s="89" t="s">
        <v>179</v>
      </c>
      <c r="F38" s="89" t="s">
        <v>180</v>
      </c>
      <c r="G38" s="89"/>
      <c r="H38" s="84">
        <v>1365359.92</v>
      </c>
      <c r="I38" s="84">
        <f>SUM(J38:M38)</f>
        <v>0</v>
      </c>
      <c r="J38" s="84">
        <v>0</v>
      </c>
      <c r="K38" s="84">
        <v>0</v>
      </c>
      <c r="L38" s="84">
        <v>0</v>
      </c>
      <c r="M38" s="84">
        <v>0</v>
      </c>
      <c r="N38" s="84">
        <f>H38+I38</f>
        <v>1365359.92</v>
      </c>
      <c r="O38" s="84">
        <v>1365359.92</v>
      </c>
      <c r="P38" s="90">
        <f>2006248.36</f>
        <v>2006248.36</v>
      </c>
      <c r="Q38" s="84">
        <f>R38+S38+T38+U38+V38</f>
        <v>0</v>
      </c>
      <c r="R38" s="84">
        <v>0</v>
      </c>
      <c r="S38" s="84"/>
      <c r="T38" s="84"/>
      <c r="U38" s="84">
        <v>0</v>
      </c>
      <c r="V38" s="84">
        <v>0</v>
      </c>
      <c r="W38" s="84"/>
      <c r="X38" s="84">
        <f t="shared" si="27"/>
        <v>2006248.36</v>
      </c>
      <c r="Y38" s="90"/>
      <c r="Z38" s="90">
        <f t="shared" si="1"/>
        <v>0</v>
      </c>
      <c r="AA38" s="90">
        <f>2006248.36</f>
        <v>2006248.36</v>
      </c>
      <c r="AB38" s="90">
        <f t="shared" si="25"/>
        <v>95022.409999999916</v>
      </c>
      <c r="AC38" s="90">
        <v>2101270.77</v>
      </c>
      <c r="AD38" s="81"/>
      <c r="AE38" s="81"/>
      <c r="AF38" s="81"/>
    </row>
    <row r="39" spans="1:32" s="82" customFormat="1" x14ac:dyDescent="0.2">
      <c r="A39" s="92" t="s">
        <v>220</v>
      </c>
      <c r="B39" s="71">
        <v>804</v>
      </c>
      <c r="C39" s="89" t="s">
        <v>215</v>
      </c>
      <c r="D39" s="89" t="s">
        <v>195</v>
      </c>
      <c r="E39" s="89" t="s">
        <v>184</v>
      </c>
      <c r="F39" s="89" t="s">
        <v>221</v>
      </c>
      <c r="G39" s="89" t="s">
        <v>222</v>
      </c>
      <c r="H39" s="84"/>
      <c r="I39" s="84"/>
      <c r="J39" s="84"/>
      <c r="K39" s="84"/>
      <c r="L39" s="84"/>
      <c r="M39" s="84"/>
      <c r="N39" s="84"/>
      <c r="O39" s="84"/>
      <c r="P39" s="90">
        <f>400000+100000</f>
        <v>500000</v>
      </c>
      <c r="Q39" s="84">
        <f>R39+T39+U39+V39</f>
        <v>0</v>
      </c>
      <c r="R39" s="84">
        <v>0</v>
      </c>
      <c r="S39" s="84"/>
      <c r="T39" s="84"/>
      <c r="U39" s="84"/>
      <c r="V39" s="84"/>
      <c r="W39" s="84"/>
      <c r="X39" s="84">
        <f t="shared" si="27"/>
        <v>500000</v>
      </c>
      <c r="Y39" s="84"/>
      <c r="Z39" s="84">
        <f t="shared" si="1"/>
        <v>0</v>
      </c>
      <c r="AA39" s="90">
        <f>400000+100000</f>
        <v>500000</v>
      </c>
      <c r="AB39" s="90">
        <f t="shared" si="25"/>
        <v>-303872.8</v>
      </c>
      <c r="AC39" s="90">
        <f>86421+209706.2-100000</f>
        <v>196127.2</v>
      </c>
      <c r="AD39" s="81"/>
      <c r="AE39" s="81"/>
      <c r="AF39" s="81"/>
    </row>
    <row r="40" spans="1:32" s="82" customFormat="1" x14ac:dyDescent="0.2">
      <c r="A40" s="76" t="s">
        <v>223</v>
      </c>
      <c r="B40" s="93">
        <v>804</v>
      </c>
      <c r="C40" s="78" t="s">
        <v>215</v>
      </c>
      <c r="D40" s="94" t="s">
        <v>195</v>
      </c>
      <c r="E40" s="78" t="s">
        <v>168</v>
      </c>
      <c r="F40" s="78" t="s">
        <v>224</v>
      </c>
      <c r="G40" s="78"/>
      <c r="H40" s="79">
        <f t="shared" ref="H40:Y40" si="28">H41+H43+H46+H53+H59+H42</f>
        <v>9173256.0500000007</v>
      </c>
      <c r="I40" s="79">
        <f t="shared" si="28"/>
        <v>740538.62</v>
      </c>
      <c r="J40" s="79">
        <f t="shared" si="28"/>
        <v>10331.839999999997</v>
      </c>
      <c r="K40" s="79">
        <f t="shared" si="28"/>
        <v>0</v>
      </c>
      <c r="L40" s="79">
        <f t="shared" si="28"/>
        <v>0</v>
      </c>
      <c r="M40" s="79">
        <f t="shared" si="28"/>
        <v>730206.78</v>
      </c>
      <c r="N40" s="79">
        <f t="shared" si="28"/>
        <v>9893794.6699999999</v>
      </c>
      <c r="O40" s="79">
        <f t="shared" si="28"/>
        <v>8540402.6720000021</v>
      </c>
      <c r="P40" s="80">
        <f t="shared" si="28"/>
        <v>7010756.0800000001</v>
      </c>
      <c r="Q40" s="80">
        <f t="shared" si="28"/>
        <v>0</v>
      </c>
      <c r="R40" s="80">
        <f t="shared" si="28"/>
        <v>0</v>
      </c>
      <c r="S40" s="80">
        <f t="shared" si="28"/>
        <v>0</v>
      </c>
      <c r="T40" s="80">
        <f t="shared" si="28"/>
        <v>0</v>
      </c>
      <c r="U40" s="80">
        <f t="shared" si="28"/>
        <v>0</v>
      </c>
      <c r="V40" s="80">
        <f t="shared" si="28"/>
        <v>0</v>
      </c>
      <c r="W40" s="80">
        <f t="shared" si="28"/>
        <v>0</v>
      </c>
      <c r="X40" s="80">
        <f t="shared" si="28"/>
        <v>6710756.0800000001</v>
      </c>
      <c r="Y40" s="80" t="e">
        <f t="shared" si="28"/>
        <v>#VALUE!</v>
      </c>
      <c r="Z40" s="80">
        <f t="shared" si="1"/>
        <v>411793.33999999799</v>
      </c>
      <c r="AA40" s="80">
        <f>AA41+AA43+AA46+AA53+AA59+AA42</f>
        <v>7422549.4199999981</v>
      </c>
      <c r="AB40" s="80">
        <f t="shared" ref="AB40" si="29">AB41+AB43+AB46+AB53+AB59+AB42</f>
        <v>1436958.6200000003</v>
      </c>
      <c r="AC40" s="80">
        <f>+AC41+AC42+AC43+AC46+AC53+AC59</f>
        <v>8859508.0399999991</v>
      </c>
      <c r="AD40" s="81"/>
      <c r="AE40" s="81"/>
      <c r="AF40" s="81"/>
    </row>
    <row r="41" spans="1:32" s="82" customFormat="1" x14ac:dyDescent="0.2">
      <c r="A41" s="87" t="s">
        <v>225</v>
      </c>
      <c r="B41" s="71">
        <v>804</v>
      </c>
      <c r="C41" s="89" t="s">
        <v>215</v>
      </c>
      <c r="D41" s="89" t="s">
        <v>195</v>
      </c>
      <c r="E41" s="89" t="s">
        <v>207</v>
      </c>
      <c r="F41" s="89" t="s">
        <v>226</v>
      </c>
      <c r="G41" s="89"/>
      <c r="H41" s="84">
        <v>650000</v>
      </c>
      <c r="I41" s="84">
        <f>SUM(J41:M41)</f>
        <v>166000</v>
      </c>
      <c r="J41" s="84">
        <v>0</v>
      </c>
      <c r="K41" s="84">
        <v>0</v>
      </c>
      <c r="L41" s="84">
        <v>0</v>
      </c>
      <c r="M41" s="84">
        <v>166000</v>
      </c>
      <c r="N41" s="84">
        <f>H41+I41</f>
        <v>816000</v>
      </c>
      <c r="O41" s="84">
        <f>650000*80%</f>
        <v>520000</v>
      </c>
      <c r="P41" s="90">
        <f>255000+96000+10000</f>
        <v>361000</v>
      </c>
      <c r="Q41" s="84">
        <f>R41+S41+T41+U41+V41</f>
        <v>0</v>
      </c>
      <c r="R41" s="84">
        <v>0</v>
      </c>
      <c r="S41" s="84"/>
      <c r="T41" s="84"/>
      <c r="U41" s="84"/>
      <c r="V41" s="84"/>
      <c r="W41" s="84"/>
      <c r="X41" s="84">
        <f>Q41+P41</f>
        <v>361000</v>
      </c>
      <c r="Y41" s="84" t="s">
        <v>209</v>
      </c>
      <c r="Z41" s="84">
        <f t="shared" si="1"/>
        <v>49854.520000000019</v>
      </c>
      <c r="AA41" s="90">
        <v>410854.52</v>
      </c>
      <c r="AB41" s="90">
        <f t="shared" si="25"/>
        <v>0</v>
      </c>
      <c r="AC41" s="90">
        <v>410854.52</v>
      </c>
      <c r="AD41" s="81"/>
      <c r="AE41" s="81"/>
      <c r="AF41" s="81"/>
    </row>
    <row r="42" spans="1:32" s="82" customFormat="1" x14ac:dyDescent="0.2">
      <c r="A42" s="87" t="s">
        <v>225</v>
      </c>
      <c r="B42" s="71">
        <v>804</v>
      </c>
      <c r="C42" s="89" t="s">
        <v>215</v>
      </c>
      <c r="D42" s="89" t="s">
        <v>195</v>
      </c>
      <c r="E42" s="89" t="s">
        <v>196</v>
      </c>
      <c r="F42" s="89" t="s">
        <v>226</v>
      </c>
      <c r="G42" s="89"/>
      <c r="H42" s="84">
        <v>10000</v>
      </c>
      <c r="I42" s="84">
        <f>SUM(J42:M42)</f>
        <v>0</v>
      </c>
      <c r="J42" s="84"/>
      <c r="K42" s="84"/>
      <c r="L42" s="84"/>
      <c r="M42" s="84"/>
      <c r="N42" s="84">
        <f>H42+I42</f>
        <v>10000</v>
      </c>
      <c r="O42" s="84">
        <f>10000*80%</f>
        <v>8000</v>
      </c>
      <c r="P42" s="90">
        <f>6250+3750</f>
        <v>10000</v>
      </c>
      <c r="Q42" s="84">
        <f>R42+S42+T42+U42+V42</f>
        <v>0</v>
      </c>
      <c r="R42" s="84">
        <v>0</v>
      </c>
      <c r="S42" s="84"/>
      <c r="T42" s="84"/>
      <c r="U42" s="84">
        <v>0</v>
      </c>
      <c r="V42" s="84"/>
      <c r="W42" s="84"/>
      <c r="X42" s="84">
        <f>P42+Q42</f>
        <v>10000</v>
      </c>
      <c r="Y42" s="84" t="s">
        <v>227</v>
      </c>
      <c r="Z42" s="84">
        <f t="shared" si="1"/>
        <v>0</v>
      </c>
      <c r="AA42" s="90">
        <f>6250+3750</f>
        <v>10000</v>
      </c>
      <c r="AB42" s="90">
        <f t="shared" si="25"/>
        <v>0</v>
      </c>
      <c r="AC42" s="90">
        <f>6250+3750</f>
        <v>10000</v>
      </c>
      <c r="AD42" s="81"/>
      <c r="AE42" s="81"/>
      <c r="AF42" s="81"/>
    </row>
    <row r="43" spans="1:32" s="82" customFormat="1" x14ac:dyDescent="0.2">
      <c r="A43" s="87" t="s">
        <v>228</v>
      </c>
      <c r="B43" s="71">
        <v>804</v>
      </c>
      <c r="C43" s="89" t="s">
        <v>215</v>
      </c>
      <c r="D43" s="89" t="s">
        <v>195</v>
      </c>
      <c r="E43" s="89" t="s">
        <v>196</v>
      </c>
      <c r="F43" s="89" t="s">
        <v>229</v>
      </c>
      <c r="G43" s="89"/>
      <c r="H43" s="84">
        <f t="shared" ref="H43:O43" si="30">H44+H45</f>
        <v>1847258.85</v>
      </c>
      <c r="I43" s="84">
        <f t="shared" si="30"/>
        <v>7010</v>
      </c>
      <c r="J43" s="84">
        <f t="shared" si="30"/>
        <v>7010</v>
      </c>
      <c r="K43" s="84">
        <f t="shared" si="30"/>
        <v>0</v>
      </c>
      <c r="L43" s="84">
        <f t="shared" si="30"/>
        <v>0</v>
      </c>
      <c r="M43" s="84">
        <f t="shared" si="30"/>
        <v>0</v>
      </c>
      <c r="N43" s="84">
        <f t="shared" si="30"/>
        <v>1854268.85</v>
      </c>
      <c r="O43" s="84">
        <f t="shared" si="30"/>
        <v>1477807.08</v>
      </c>
      <c r="P43" s="90">
        <f>300000</f>
        <v>300000</v>
      </c>
      <c r="Q43" s="84"/>
      <c r="R43" s="84"/>
      <c r="S43" s="84"/>
      <c r="T43" s="84"/>
      <c r="U43" s="84"/>
      <c r="V43" s="84"/>
      <c r="W43" s="84"/>
      <c r="X43" s="84"/>
      <c r="Y43" s="84"/>
      <c r="Z43" s="84">
        <f t="shared" si="1"/>
        <v>0</v>
      </c>
      <c r="AA43" s="90">
        <f>300000</f>
        <v>300000</v>
      </c>
      <c r="AB43" s="90">
        <f t="shared" si="25"/>
        <v>-74160.799999999988</v>
      </c>
      <c r="AC43" s="90">
        <v>225839.2</v>
      </c>
      <c r="AD43" s="81"/>
      <c r="AE43" s="81"/>
      <c r="AF43" s="81"/>
    </row>
    <row r="44" spans="1:32" s="82" customFormat="1" hidden="1" x14ac:dyDescent="0.2">
      <c r="A44" s="91" t="s">
        <v>230</v>
      </c>
      <c r="B44" s="101"/>
      <c r="C44" s="89"/>
      <c r="D44" s="89"/>
      <c r="E44" s="89" t="s">
        <v>184</v>
      </c>
      <c r="F44" s="89"/>
      <c r="G44" s="89" t="s">
        <v>188</v>
      </c>
      <c r="H44" s="84">
        <v>150000</v>
      </c>
      <c r="I44" s="84">
        <f>SUM(J44:M44)</f>
        <v>0</v>
      </c>
      <c r="J44" s="84"/>
      <c r="K44" s="84"/>
      <c r="L44" s="84"/>
      <c r="M44" s="84"/>
      <c r="N44" s="84">
        <f>H44+I44</f>
        <v>150000</v>
      </c>
      <c r="O44" s="84">
        <f>150000*80%</f>
        <v>120000</v>
      </c>
      <c r="P44" s="90">
        <v>0</v>
      </c>
      <c r="Q44" s="84"/>
      <c r="R44" s="84"/>
      <c r="S44" s="84"/>
      <c r="T44" s="84"/>
      <c r="U44" s="84"/>
      <c r="V44" s="84"/>
      <c r="W44" s="84"/>
      <c r="X44" s="84"/>
      <c r="Y44" s="84"/>
      <c r="Z44" s="84">
        <f t="shared" si="1"/>
        <v>0</v>
      </c>
      <c r="AA44" s="90">
        <v>0</v>
      </c>
      <c r="AB44" s="90">
        <f t="shared" si="25"/>
        <v>0</v>
      </c>
      <c r="AC44" s="90">
        <v>0</v>
      </c>
      <c r="AD44" s="81"/>
      <c r="AE44" s="81"/>
      <c r="AF44" s="81"/>
    </row>
    <row r="45" spans="1:32" s="82" customFormat="1" hidden="1" x14ac:dyDescent="0.2">
      <c r="A45" s="87" t="s">
        <v>228</v>
      </c>
      <c r="B45" s="71"/>
      <c r="C45" s="89"/>
      <c r="D45" s="89"/>
      <c r="E45" s="89" t="s">
        <v>196</v>
      </c>
      <c r="F45" s="89"/>
      <c r="G45" s="89" t="s">
        <v>231</v>
      </c>
      <c r="H45" s="90">
        <f>1616437*1.05</f>
        <v>1697258.85</v>
      </c>
      <c r="I45" s="84">
        <f>SUM(J45:M45)</f>
        <v>7010</v>
      </c>
      <c r="J45" s="90">
        <v>7010</v>
      </c>
      <c r="K45" s="90">
        <v>0</v>
      </c>
      <c r="L45" s="90">
        <v>0</v>
      </c>
      <c r="M45" s="90">
        <v>0</v>
      </c>
      <c r="N45" s="84">
        <f>H45+I45</f>
        <v>1704268.85</v>
      </c>
      <c r="O45" s="90">
        <f>(1616437*1.05)*80%</f>
        <v>1357807.08</v>
      </c>
      <c r="P45" s="90">
        <v>0</v>
      </c>
      <c r="Q45" s="90"/>
      <c r="R45" s="90"/>
      <c r="S45" s="90"/>
      <c r="T45" s="90"/>
      <c r="U45" s="90"/>
      <c r="V45" s="90"/>
      <c r="W45" s="90"/>
      <c r="X45" s="84"/>
      <c r="Y45" s="84"/>
      <c r="Z45" s="84">
        <f t="shared" si="1"/>
        <v>0</v>
      </c>
      <c r="AA45" s="90">
        <v>0</v>
      </c>
      <c r="AB45" s="90">
        <f t="shared" si="25"/>
        <v>0</v>
      </c>
      <c r="AC45" s="90">
        <v>0</v>
      </c>
      <c r="AD45" s="81"/>
      <c r="AE45" s="81"/>
      <c r="AF45" s="81"/>
    </row>
    <row r="46" spans="1:32" s="82" customFormat="1" x14ac:dyDescent="0.2">
      <c r="A46" s="87" t="s">
        <v>232</v>
      </c>
      <c r="B46" s="71">
        <v>804</v>
      </c>
      <c r="C46" s="89" t="s">
        <v>215</v>
      </c>
      <c r="D46" s="89" t="s">
        <v>195</v>
      </c>
      <c r="E46" s="89" t="s">
        <v>233</v>
      </c>
      <c r="F46" s="89" t="s">
        <v>234</v>
      </c>
      <c r="G46" s="89"/>
      <c r="H46" s="84">
        <f t="shared" ref="H46:O46" si="31">SUM(H47:H50)</f>
        <v>6008989.1600000011</v>
      </c>
      <c r="I46" s="84">
        <f t="shared" si="31"/>
        <v>446528.62</v>
      </c>
      <c r="J46" s="84">
        <f t="shared" si="31"/>
        <v>8321.8399999999965</v>
      </c>
      <c r="K46" s="84">
        <f t="shared" si="31"/>
        <v>0</v>
      </c>
      <c r="L46" s="84">
        <f t="shared" si="31"/>
        <v>0</v>
      </c>
      <c r="M46" s="84">
        <f t="shared" si="31"/>
        <v>438206.78</v>
      </c>
      <c r="N46" s="84">
        <f t="shared" si="31"/>
        <v>6455517.7800000012</v>
      </c>
      <c r="O46" s="84">
        <f t="shared" si="31"/>
        <v>6008989.1600000011</v>
      </c>
      <c r="P46" s="90">
        <f t="shared" ref="P46:Y46" si="32">SUM(P47:P52)</f>
        <v>6076756.0800000001</v>
      </c>
      <c r="Q46" s="90">
        <f t="shared" si="32"/>
        <v>0</v>
      </c>
      <c r="R46" s="90">
        <f t="shared" si="32"/>
        <v>0</v>
      </c>
      <c r="S46" s="90">
        <f t="shared" si="32"/>
        <v>0</v>
      </c>
      <c r="T46" s="90">
        <f t="shared" si="32"/>
        <v>0</v>
      </c>
      <c r="U46" s="90">
        <f t="shared" si="32"/>
        <v>0</v>
      </c>
      <c r="V46" s="90">
        <f t="shared" si="32"/>
        <v>0</v>
      </c>
      <c r="W46" s="90">
        <f t="shared" si="32"/>
        <v>0</v>
      </c>
      <c r="X46" s="90">
        <f t="shared" si="32"/>
        <v>6076756.0800000001</v>
      </c>
      <c r="Y46" s="90">
        <f t="shared" si="32"/>
        <v>0</v>
      </c>
      <c r="Z46" s="90">
        <f t="shared" si="1"/>
        <v>23183.89999999851</v>
      </c>
      <c r="AA46" s="80">
        <f>SUM(AA47:AA52)</f>
        <v>6099939.9799999986</v>
      </c>
      <c r="AB46" s="80">
        <f t="shared" ref="AB46:AC46" si="33">SUM(AB47:AB52)</f>
        <v>1511119.4200000004</v>
      </c>
      <c r="AC46" s="80">
        <f t="shared" si="33"/>
        <v>7611059.4000000004</v>
      </c>
      <c r="AD46" s="81"/>
      <c r="AE46" s="81"/>
      <c r="AF46" s="81"/>
    </row>
    <row r="47" spans="1:32" s="109" customFormat="1" x14ac:dyDescent="0.2">
      <c r="A47" s="102" t="s">
        <v>235</v>
      </c>
      <c r="B47" s="103">
        <v>804</v>
      </c>
      <c r="C47" s="104" t="s">
        <v>215</v>
      </c>
      <c r="D47" s="104" t="s">
        <v>195</v>
      </c>
      <c r="E47" s="104" t="s">
        <v>236</v>
      </c>
      <c r="F47" s="104" t="s">
        <v>234</v>
      </c>
      <c r="G47" s="104" t="s">
        <v>237</v>
      </c>
      <c r="H47" s="105">
        <v>5728667.9400000004</v>
      </c>
      <c r="I47" s="105">
        <f>SUM(J47:M47)</f>
        <v>526528.62</v>
      </c>
      <c r="J47" s="105">
        <f>80000+8321.84</f>
        <v>88321.84</v>
      </c>
      <c r="K47" s="105">
        <v>0</v>
      </c>
      <c r="L47" s="105">
        <v>0</v>
      </c>
      <c r="M47" s="105">
        <f>88206.78+350000</f>
        <v>438206.78</v>
      </c>
      <c r="N47" s="105">
        <f>H47+I47</f>
        <v>6255196.5600000005</v>
      </c>
      <c r="O47" s="105">
        <v>5728667.9400000004</v>
      </c>
      <c r="P47" s="106">
        <f>6411141.05-871361.74</f>
        <v>5539779.3099999996</v>
      </c>
      <c r="Q47" s="105">
        <f>R47+S47+T47+U47+V47</f>
        <v>0</v>
      </c>
      <c r="R47" s="105">
        <v>0</v>
      </c>
      <c r="S47" s="105">
        <v>0</v>
      </c>
      <c r="T47" s="105"/>
      <c r="U47" s="105">
        <v>0</v>
      </c>
      <c r="V47" s="105"/>
      <c r="W47" s="105"/>
      <c r="X47" s="105">
        <f>P47+Q47</f>
        <v>5539779.3099999996</v>
      </c>
      <c r="Y47" s="105"/>
      <c r="Z47" s="105">
        <f t="shared" si="1"/>
        <v>0</v>
      </c>
      <c r="AA47" s="106">
        <f>6411141.05-871361.74</f>
        <v>5539779.3099999996</v>
      </c>
      <c r="AB47" s="90">
        <f t="shared" si="25"/>
        <v>1449720.7700000005</v>
      </c>
      <c r="AC47" s="106">
        <v>6989500.0800000001</v>
      </c>
      <c r="AD47" s="107"/>
      <c r="AE47" s="108"/>
      <c r="AF47" s="108"/>
    </row>
    <row r="48" spans="1:32" s="109" customFormat="1" x14ac:dyDescent="0.2">
      <c r="A48" s="102" t="s">
        <v>238</v>
      </c>
      <c r="B48" s="103">
        <v>804</v>
      </c>
      <c r="C48" s="104" t="s">
        <v>215</v>
      </c>
      <c r="D48" s="104" t="s">
        <v>195</v>
      </c>
      <c r="E48" s="104" t="s">
        <v>236</v>
      </c>
      <c r="F48" s="104" t="s">
        <v>234</v>
      </c>
      <c r="G48" s="104" t="s">
        <v>239</v>
      </c>
      <c r="H48" s="105">
        <v>248314.61</v>
      </c>
      <c r="I48" s="105">
        <f>SUM(J48:M48)</f>
        <v>-80000</v>
      </c>
      <c r="J48" s="105">
        <f>-80000</f>
        <v>-80000</v>
      </c>
      <c r="K48" s="105"/>
      <c r="L48" s="105"/>
      <c r="M48" s="105">
        <v>0</v>
      </c>
      <c r="N48" s="105">
        <f>H48+I48</f>
        <v>168314.61</v>
      </c>
      <c r="O48" s="105">
        <v>248314.61</v>
      </c>
      <c r="P48" s="106">
        <f>380851.26+100000</f>
        <v>480851.26</v>
      </c>
      <c r="Q48" s="105">
        <f>R48+S48+T48+U48+V48</f>
        <v>0</v>
      </c>
      <c r="R48" s="105"/>
      <c r="S48" s="105"/>
      <c r="T48" s="105"/>
      <c r="U48" s="105"/>
      <c r="V48" s="105"/>
      <c r="W48" s="105"/>
      <c r="X48" s="105">
        <f>P48+Q48</f>
        <v>480851.26</v>
      </c>
      <c r="Y48" s="105"/>
      <c r="Z48" s="105">
        <f t="shared" si="1"/>
        <v>0</v>
      </c>
      <c r="AA48" s="106">
        <f>380851.26+100000</f>
        <v>480851.26</v>
      </c>
      <c r="AB48" s="90">
        <f t="shared" si="25"/>
        <v>0</v>
      </c>
      <c r="AC48" s="106">
        <f>380851.26+100000</f>
        <v>480851.26</v>
      </c>
      <c r="AD48" s="108"/>
      <c r="AE48" s="108"/>
      <c r="AF48" s="108"/>
    </row>
    <row r="49" spans="1:32" s="109" customFormat="1" x14ac:dyDescent="0.2">
      <c r="A49" s="102" t="s">
        <v>240</v>
      </c>
      <c r="B49" s="103">
        <v>804</v>
      </c>
      <c r="C49" s="104" t="s">
        <v>215</v>
      </c>
      <c r="D49" s="104" t="s">
        <v>195</v>
      </c>
      <c r="E49" s="104" t="s">
        <v>196</v>
      </c>
      <c r="F49" s="104" t="s">
        <v>234</v>
      </c>
      <c r="G49" s="104" t="s">
        <v>241</v>
      </c>
      <c r="H49" s="105">
        <f>6661.28+18066.37</f>
        <v>24727.649999999998</v>
      </c>
      <c r="I49" s="105">
        <f>SUM(J49:M49)</f>
        <v>0</v>
      </c>
      <c r="J49" s="105"/>
      <c r="K49" s="105"/>
      <c r="L49" s="105"/>
      <c r="M49" s="105"/>
      <c r="N49" s="105">
        <f>H49+I49</f>
        <v>24727.649999999998</v>
      </c>
      <c r="O49" s="105">
        <f>6661.28+18066.37</f>
        <v>24727.649999999998</v>
      </c>
      <c r="P49" s="106">
        <f>33182.98+5000</f>
        <v>38182.980000000003</v>
      </c>
      <c r="Q49" s="105">
        <f>R49+S49+T49+U49+V49</f>
        <v>0</v>
      </c>
      <c r="R49" s="105">
        <v>0</v>
      </c>
      <c r="S49" s="105">
        <v>0</v>
      </c>
      <c r="T49" s="105"/>
      <c r="U49" s="105">
        <v>0</v>
      </c>
      <c r="V49" s="105"/>
      <c r="W49" s="105"/>
      <c r="X49" s="105">
        <f>P49+Q49</f>
        <v>38182.980000000003</v>
      </c>
      <c r="Y49" s="105"/>
      <c r="Z49" s="105">
        <f t="shared" si="1"/>
        <v>-5541.8000000000029</v>
      </c>
      <c r="AA49" s="106">
        <v>32641.18</v>
      </c>
      <c r="AB49" s="90">
        <f t="shared" si="25"/>
        <v>21273.22</v>
      </c>
      <c r="AC49" s="106">
        <v>53914.400000000001</v>
      </c>
      <c r="AD49" s="108"/>
      <c r="AE49" s="108"/>
      <c r="AF49" s="108"/>
    </row>
    <row r="50" spans="1:32" s="109" customFormat="1" x14ac:dyDescent="0.2">
      <c r="A50" s="102" t="s">
        <v>242</v>
      </c>
      <c r="B50" s="103">
        <v>804</v>
      </c>
      <c r="C50" s="104" t="s">
        <v>215</v>
      </c>
      <c r="D50" s="104" t="s">
        <v>195</v>
      </c>
      <c r="E50" s="104" t="s">
        <v>196</v>
      </c>
      <c r="F50" s="104" t="s">
        <v>234</v>
      </c>
      <c r="G50" s="104" t="s">
        <v>243</v>
      </c>
      <c r="H50" s="105">
        <v>7278.96</v>
      </c>
      <c r="I50" s="105">
        <f>SUM(J50:M50)</f>
        <v>0</v>
      </c>
      <c r="J50" s="105"/>
      <c r="K50" s="105"/>
      <c r="L50" s="105"/>
      <c r="M50" s="105"/>
      <c r="N50" s="105">
        <f>H50+I50</f>
        <v>7278.96</v>
      </c>
      <c r="O50" s="105">
        <v>7278.96</v>
      </c>
      <c r="P50" s="106">
        <f>14942.53+3000</f>
        <v>17942.53</v>
      </c>
      <c r="Q50" s="105">
        <f>R50+S50+T50+U50+V50</f>
        <v>0</v>
      </c>
      <c r="R50" s="105">
        <v>0</v>
      </c>
      <c r="S50" s="105">
        <v>0</v>
      </c>
      <c r="T50" s="105"/>
      <c r="U50" s="105">
        <v>0</v>
      </c>
      <c r="V50" s="105"/>
      <c r="W50" s="105"/>
      <c r="X50" s="105">
        <f>P50+Q50</f>
        <v>17942.53</v>
      </c>
      <c r="Y50" s="105"/>
      <c r="Z50" s="105">
        <f t="shared" si="1"/>
        <v>5113.7299999999996</v>
      </c>
      <c r="AA50" s="106">
        <v>23056.26</v>
      </c>
      <c r="AB50" s="90">
        <f t="shared" si="25"/>
        <v>21288.74</v>
      </c>
      <c r="AC50" s="106">
        <v>44345</v>
      </c>
      <c r="AD50" s="108"/>
      <c r="AE50" s="108"/>
      <c r="AF50" s="108"/>
    </row>
    <row r="51" spans="1:32" s="109" customFormat="1" x14ac:dyDescent="0.2">
      <c r="A51" s="102" t="s">
        <v>242</v>
      </c>
      <c r="B51" s="103">
        <v>804</v>
      </c>
      <c r="C51" s="104" t="s">
        <v>215</v>
      </c>
      <c r="D51" s="104" t="s">
        <v>195</v>
      </c>
      <c r="E51" s="104" t="s">
        <v>236</v>
      </c>
      <c r="F51" s="104" t="s">
        <v>234</v>
      </c>
      <c r="G51" s="104" t="s">
        <v>244</v>
      </c>
      <c r="H51" s="105"/>
      <c r="I51" s="105"/>
      <c r="J51" s="105"/>
      <c r="K51" s="105"/>
      <c r="L51" s="105"/>
      <c r="M51" s="105"/>
      <c r="N51" s="105"/>
      <c r="O51" s="105"/>
      <c r="P51" s="106"/>
      <c r="Q51" s="105"/>
      <c r="R51" s="105"/>
      <c r="S51" s="105"/>
      <c r="T51" s="105"/>
      <c r="U51" s="105"/>
      <c r="V51" s="105"/>
      <c r="W51" s="105"/>
      <c r="X51" s="105"/>
      <c r="Y51" s="105"/>
      <c r="Z51" s="105">
        <f t="shared" si="1"/>
        <v>23611.97</v>
      </c>
      <c r="AA51" s="106">
        <v>23611.97</v>
      </c>
      <c r="AB51" s="90">
        <f t="shared" si="25"/>
        <v>18836.690000000002</v>
      </c>
      <c r="AC51" s="106">
        <v>42448.66</v>
      </c>
      <c r="AD51" s="108"/>
      <c r="AE51" s="108"/>
      <c r="AF51" s="108"/>
    </row>
    <row r="52" spans="1:32" s="82" customFormat="1" hidden="1" x14ac:dyDescent="0.2">
      <c r="A52" s="92"/>
      <c r="B52" s="95"/>
      <c r="C52" s="89"/>
      <c r="D52" s="89"/>
      <c r="E52" s="89"/>
      <c r="F52" s="89"/>
      <c r="G52" s="89"/>
      <c r="H52" s="84"/>
      <c r="I52" s="84"/>
      <c r="J52" s="84"/>
      <c r="K52" s="84"/>
      <c r="L52" s="84"/>
      <c r="M52" s="84"/>
      <c r="N52" s="84"/>
      <c r="O52" s="84"/>
      <c r="P52" s="90"/>
      <c r="Q52" s="84"/>
      <c r="R52" s="84"/>
      <c r="S52" s="84"/>
      <c r="T52" s="84"/>
      <c r="U52" s="84"/>
      <c r="V52" s="84"/>
      <c r="W52" s="84"/>
      <c r="X52" s="84"/>
      <c r="Y52" s="84"/>
      <c r="Z52" s="84">
        <f t="shared" si="1"/>
        <v>0</v>
      </c>
      <c r="AA52" s="90"/>
      <c r="AB52" s="90">
        <f t="shared" si="25"/>
        <v>0</v>
      </c>
      <c r="AC52" s="90"/>
      <c r="AD52" s="81"/>
      <c r="AE52" s="81"/>
      <c r="AF52" s="81"/>
    </row>
    <row r="53" spans="1:32" s="82" customFormat="1" x14ac:dyDescent="0.2">
      <c r="A53" s="87" t="s">
        <v>245</v>
      </c>
      <c r="B53" s="71">
        <v>804</v>
      </c>
      <c r="C53" s="89" t="s">
        <v>215</v>
      </c>
      <c r="D53" s="89" t="s">
        <v>195</v>
      </c>
      <c r="E53" s="89" t="s">
        <v>168</v>
      </c>
      <c r="F53" s="89" t="s">
        <v>246</v>
      </c>
      <c r="G53" s="89"/>
      <c r="H53" s="84">
        <f t="shared" ref="H53:O53" si="34">H54+H55+H56+H57</f>
        <v>281008.03999999998</v>
      </c>
      <c r="I53" s="84">
        <f t="shared" si="34"/>
        <v>110000</v>
      </c>
      <c r="J53" s="84">
        <f t="shared" si="34"/>
        <v>0</v>
      </c>
      <c r="K53" s="84">
        <f t="shared" si="34"/>
        <v>0</v>
      </c>
      <c r="L53" s="84">
        <f t="shared" si="34"/>
        <v>0</v>
      </c>
      <c r="M53" s="84">
        <f t="shared" si="34"/>
        <v>110000</v>
      </c>
      <c r="N53" s="84">
        <f t="shared" si="34"/>
        <v>391008.04</v>
      </c>
      <c r="O53" s="84">
        <f t="shared" si="34"/>
        <v>224806.432</v>
      </c>
      <c r="P53" s="90">
        <f t="shared" ref="P53:Y53" si="35">SUM(P57:P58)</f>
        <v>30000</v>
      </c>
      <c r="Q53" s="90">
        <f t="shared" si="35"/>
        <v>0</v>
      </c>
      <c r="R53" s="90">
        <f t="shared" si="35"/>
        <v>0</v>
      </c>
      <c r="S53" s="90">
        <f t="shared" si="35"/>
        <v>0</v>
      </c>
      <c r="T53" s="90">
        <f t="shared" si="35"/>
        <v>0</v>
      </c>
      <c r="U53" s="90">
        <f t="shared" si="35"/>
        <v>0</v>
      </c>
      <c r="V53" s="90">
        <f t="shared" si="35"/>
        <v>0</v>
      </c>
      <c r="W53" s="90">
        <f t="shared" si="35"/>
        <v>0</v>
      </c>
      <c r="X53" s="90">
        <f t="shared" si="35"/>
        <v>30000</v>
      </c>
      <c r="Y53" s="90">
        <f t="shared" si="35"/>
        <v>0</v>
      </c>
      <c r="Z53" s="90">
        <f t="shared" si="1"/>
        <v>8970</v>
      </c>
      <c r="AA53" s="80">
        <f>SUM(AA57:AA58)</f>
        <v>38970</v>
      </c>
      <c r="AB53" s="80">
        <f t="shared" ref="AB53:AC53" si="36">SUM(AB57:AB58)</f>
        <v>0</v>
      </c>
      <c r="AC53" s="80">
        <f t="shared" si="36"/>
        <v>38970</v>
      </c>
      <c r="AD53" s="81"/>
      <c r="AE53" s="81"/>
      <c r="AF53" s="81"/>
    </row>
    <row r="54" spans="1:32" s="109" customFormat="1" hidden="1" x14ac:dyDescent="0.2">
      <c r="A54" s="110" t="s">
        <v>247</v>
      </c>
      <c r="B54" s="111"/>
      <c r="C54" s="104"/>
      <c r="D54" s="104"/>
      <c r="E54" s="104"/>
      <c r="F54" s="104"/>
      <c r="G54" s="104" t="s">
        <v>248</v>
      </c>
      <c r="H54" s="105">
        <v>0</v>
      </c>
      <c r="I54" s="105">
        <f>SUM(J54:M54)</f>
        <v>0</v>
      </c>
      <c r="J54" s="105">
        <v>0</v>
      </c>
      <c r="K54" s="105">
        <v>0</v>
      </c>
      <c r="L54" s="105">
        <v>0</v>
      </c>
      <c r="M54" s="105">
        <v>0</v>
      </c>
      <c r="N54" s="105">
        <f>H54+I54</f>
        <v>0</v>
      </c>
      <c r="O54" s="105">
        <v>0</v>
      </c>
      <c r="P54" s="106">
        <v>0</v>
      </c>
      <c r="Q54" s="105"/>
      <c r="R54" s="105"/>
      <c r="S54" s="105"/>
      <c r="T54" s="105"/>
      <c r="U54" s="105"/>
      <c r="V54" s="105"/>
      <c r="W54" s="105"/>
      <c r="X54" s="105"/>
      <c r="Y54" s="105"/>
      <c r="Z54" s="105">
        <f t="shared" si="1"/>
        <v>0</v>
      </c>
      <c r="AA54" s="106">
        <v>0</v>
      </c>
      <c r="AB54" s="90">
        <f t="shared" si="25"/>
        <v>0</v>
      </c>
      <c r="AC54" s="106">
        <v>0</v>
      </c>
      <c r="AD54" s="108"/>
      <c r="AE54" s="108"/>
      <c r="AF54" s="108"/>
    </row>
    <row r="55" spans="1:32" s="109" customFormat="1" hidden="1" x14ac:dyDescent="0.2">
      <c r="A55" s="110" t="s">
        <v>249</v>
      </c>
      <c r="B55" s="111"/>
      <c r="C55" s="104"/>
      <c r="D55" s="104"/>
      <c r="E55" s="104"/>
      <c r="F55" s="104"/>
      <c r="G55" s="104" t="s">
        <v>250</v>
      </c>
      <c r="H55" s="105">
        <v>0</v>
      </c>
      <c r="I55" s="105">
        <f>SUM(J55:M55)</f>
        <v>0</v>
      </c>
      <c r="J55" s="105">
        <v>0</v>
      </c>
      <c r="K55" s="105">
        <v>0</v>
      </c>
      <c r="L55" s="105">
        <v>0</v>
      </c>
      <c r="M55" s="105">
        <v>0</v>
      </c>
      <c r="N55" s="105">
        <f>H55+I55</f>
        <v>0</v>
      </c>
      <c r="O55" s="105">
        <v>0</v>
      </c>
      <c r="P55" s="106">
        <v>0</v>
      </c>
      <c r="Q55" s="105"/>
      <c r="R55" s="105"/>
      <c r="S55" s="105"/>
      <c r="T55" s="105"/>
      <c r="U55" s="105"/>
      <c r="V55" s="105"/>
      <c r="W55" s="105"/>
      <c r="X55" s="105"/>
      <c r="Y55" s="105"/>
      <c r="Z55" s="105">
        <f t="shared" si="1"/>
        <v>0</v>
      </c>
      <c r="AA55" s="106">
        <v>0</v>
      </c>
      <c r="AB55" s="90">
        <f t="shared" si="25"/>
        <v>0</v>
      </c>
      <c r="AC55" s="106">
        <v>0</v>
      </c>
      <c r="AD55" s="108"/>
      <c r="AE55" s="108"/>
      <c r="AF55" s="108"/>
    </row>
    <row r="56" spans="1:32" s="109" customFormat="1" hidden="1" x14ac:dyDescent="0.2">
      <c r="A56" s="102" t="s">
        <v>251</v>
      </c>
      <c r="B56" s="103"/>
      <c r="C56" s="104"/>
      <c r="D56" s="104"/>
      <c r="E56" s="104"/>
      <c r="F56" s="104"/>
      <c r="G56" s="104" t="s">
        <v>252</v>
      </c>
      <c r="H56" s="105">
        <v>0</v>
      </c>
      <c r="I56" s="105">
        <f>SUM(J56:M56)</f>
        <v>0</v>
      </c>
      <c r="J56" s="105">
        <v>0</v>
      </c>
      <c r="K56" s="105">
        <v>0</v>
      </c>
      <c r="L56" s="105">
        <v>0</v>
      </c>
      <c r="M56" s="105">
        <v>0</v>
      </c>
      <c r="N56" s="105">
        <f>H56+I56</f>
        <v>0</v>
      </c>
      <c r="O56" s="105">
        <v>0</v>
      </c>
      <c r="P56" s="106">
        <v>0</v>
      </c>
      <c r="Q56" s="105"/>
      <c r="R56" s="105"/>
      <c r="S56" s="105"/>
      <c r="T56" s="105"/>
      <c r="U56" s="105"/>
      <c r="V56" s="105"/>
      <c r="W56" s="105"/>
      <c r="X56" s="105"/>
      <c r="Y56" s="105"/>
      <c r="Z56" s="105">
        <f t="shared" si="1"/>
        <v>0</v>
      </c>
      <c r="AA56" s="106">
        <v>0</v>
      </c>
      <c r="AB56" s="90">
        <f t="shared" si="25"/>
        <v>0</v>
      </c>
      <c r="AC56" s="106">
        <v>0</v>
      </c>
      <c r="AD56" s="108"/>
      <c r="AE56" s="108"/>
      <c r="AF56" s="108"/>
    </row>
    <row r="57" spans="1:32" s="109" customFormat="1" ht="25.5" x14ac:dyDescent="0.2">
      <c r="A57" s="102" t="s">
        <v>253</v>
      </c>
      <c r="B57" s="103">
        <v>804</v>
      </c>
      <c r="C57" s="104" t="s">
        <v>215</v>
      </c>
      <c r="D57" s="104" t="s">
        <v>195</v>
      </c>
      <c r="E57" s="104" t="s">
        <v>207</v>
      </c>
      <c r="F57" s="104" t="s">
        <v>246</v>
      </c>
      <c r="G57" s="104" t="s">
        <v>248</v>
      </c>
      <c r="H57" s="105">
        <v>281008.03999999998</v>
      </c>
      <c r="I57" s="105">
        <f>SUM(J57:M57)</f>
        <v>110000</v>
      </c>
      <c r="J57" s="105">
        <v>0</v>
      </c>
      <c r="K57" s="105">
        <v>0</v>
      </c>
      <c r="L57" s="105">
        <v>0</v>
      </c>
      <c r="M57" s="105">
        <v>110000</v>
      </c>
      <c r="N57" s="105">
        <f>H57+I57</f>
        <v>391008.04</v>
      </c>
      <c r="O57" s="105">
        <f>281008.04*80%</f>
        <v>224806.432</v>
      </c>
      <c r="P57" s="106">
        <f>30000</f>
        <v>30000</v>
      </c>
      <c r="Q57" s="105">
        <f>R57+S57+T57+U57+V57</f>
        <v>0</v>
      </c>
      <c r="R57" s="105">
        <v>0</v>
      </c>
      <c r="S57" s="105"/>
      <c r="T57" s="105"/>
      <c r="U57" s="105">
        <v>0</v>
      </c>
      <c r="V57" s="105"/>
      <c r="W57" s="105"/>
      <c r="X57" s="105">
        <f>P57+Q57</f>
        <v>30000</v>
      </c>
      <c r="Y57" s="105" t="s">
        <v>227</v>
      </c>
      <c r="Z57" s="105">
        <f t="shared" si="1"/>
        <v>0</v>
      </c>
      <c r="AA57" s="106">
        <f>30000</f>
        <v>30000</v>
      </c>
      <c r="AB57" s="90">
        <f t="shared" si="25"/>
        <v>0</v>
      </c>
      <c r="AC57" s="106">
        <f>30000</f>
        <v>30000</v>
      </c>
      <c r="AD57" s="108"/>
      <c r="AE57" s="108"/>
      <c r="AF57" s="108"/>
    </row>
    <row r="58" spans="1:32" s="109" customFormat="1" ht="25.5" x14ac:dyDescent="0.2">
      <c r="A58" s="102" t="s">
        <v>254</v>
      </c>
      <c r="B58" s="103">
        <v>804</v>
      </c>
      <c r="C58" s="104" t="s">
        <v>215</v>
      </c>
      <c r="D58" s="104" t="s">
        <v>195</v>
      </c>
      <c r="E58" s="104" t="s">
        <v>196</v>
      </c>
      <c r="F58" s="104" t="s">
        <v>246</v>
      </c>
      <c r="G58" s="104"/>
      <c r="H58" s="105"/>
      <c r="I58" s="105"/>
      <c r="J58" s="105"/>
      <c r="K58" s="105"/>
      <c r="L58" s="105"/>
      <c r="M58" s="105"/>
      <c r="N58" s="105"/>
      <c r="O58" s="105"/>
      <c r="P58" s="106"/>
      <c r="Q58" s="105"/>
      <c r="R58" s="105"/>
      <c r="S58" s="105"/>
      <c r="T58" s="105"/>
      <c r="U58" s="105"/>
      <c r="V58" s="105"/>
      <c r="W58" s="105"/>
      <c r="X58" s="105"/>
      <c r="Y58" s="105"/>
      <c r="Z58" s="105">
        <f t="shared" si="1"/>
        <v>8970</v>
      </c>
      <c r="AA58" s="106">
        <v>8970</v>
      </c>
      <c r="AB58" s="90">
        <f t="shared" si="25"/>
        <v>0</v>
      </c>
      <c r="AC58" s="106">
        <v>8970</v>
      </c>
      <c r="AD58" s="108"/>
      <c r="AE58" s="108"/>
      <c r="AF58" s="108"/>
    </row>
    <row r="59" spans="1:32" s="82" customFormat="1" x14ac:dyDescent="0.2">
      <c r="A59" s="87" t="s">
        <v>255</v>
      </c>
      <c r="B59" s="71">
        <v>804</v>
      </c>
      <c r="C59" s="89" t="s">
        <v>215</v>
      </c>
      <c r="D59" s="104" t="s">
        <v>195</v>
      </c>
      <c r="E59" s="89" t="s">
        <v>168</v>
      </c>
      <c r="F59" s="89" t="s">
        <v>187</v>
      </c>
      <c r="G59" s="89"/>
      <c r="H59" s="84">
        <f t="shared" ref="H59:O59" si="37">SUM(H60:H71)</f>
        <v>376000</v>
      </c>
      <c r="I59" s="84">
        <f t="shared" si="37"/>
        <v>11000</v>
      </c>
      <c r="J59" s="84">
        <f t="shared" si="37"/>
        <v>-5000</v>
      </c>
      <c r="K59" s="84">
        <f t="shared" si="37"/>
        <v>0</v>
      </c>
      <c r="L59" s="84">
        <f t="shared" si="37"/>
        <v>0</v>
      </c>
      <c r="M59" s="84">
        <f t="shared" si="37"/>
        <v>16000</v>
      </c>
      <c r="N59" s="84">
        <f t="shared" si="37"/>
        <v>367000</v>
      </c>
      <c r="O59" s="84">
        <f t="shared" si="37"/>
        <v>300800</v>
      </c>
      <c r="P59" s="90">
        <f t="shared" ref="P59:X59" si="38">P62+P65+P68+P70+P66+P69+P74</f>
        <v>233000</v>
      </c>
      <c r="Q59" s="90">
        <f t="shared" si="38"/>
        <v>0</v>
      </c>
      <c r="R59" s="90">
        <f t="shared" si="38"/>
        <v>0</v>
      </c>
      <c r="S59" s="90">
        <f t="shared" si="38"/>
        <v>0</v>
      </c>
      <c r="T59" s="90">
        <f t="shared" si="38"/>
        <v>0</v>
      </c>
      <c r="U59" s="90">
        <f t="shared" si="38"/>
        <v>0</v>
      </c>
      <c r="V59" s="90">
        <f t="shared" si="38"/>
        <v>0</v>
      </c>
      <c r="W59" s="90">
        <f t="shared" si="38"/>
        <v>0</v>
      </c>
      <c r="X59" s="90">
        <f t="shared" si="38"/>
        <v>233000</v>
      </c>
      <c r="Y59" s="84"/>
      <c r="Z59" s="84">
        <f t="shared" si="1"/>
        <v>329784.91999999993</v>
      </c>
      <c r="AA59" s="80">
        <f t="shared" ref="AA59:AC59" si="39">SUM(AA62:AA70)</f>
        <v>562784.91999999993</v>
      </c>
      <c r="AB59" s="80">
        <f t="shared" si="39"/>
        <v>0</v>
      </c>
      <c r="AC59" s="80">
        <f t="shared" si="39"/>
        <v>562784.91999999993</v>
      </c>
      <c r="AD59" s="81"/>
      <c r="AE59" s="81"/>
      <c r="AF59" s="81"/>
    </row>
    <row r="60" spans="1:32" s="82" customFormat="1" ht="25.5" hidden="1" x14ac:dyDescent="0.2">
      <c r="A60" s="91" t="s">
        <v>256</v>
      </c>
      <c r="B60" s="71"/>
      <c r="C60" s="89"/>
      <c r="D60" s="89"/>
      <c r="E60" s="89" t="s">
        <v>184</v>
      </c>
      <c r="F60" s="89"/>
      <c r="G60" s="89" t="s">
        <v>188</v>
      </c>
      <c r="H60" s="84">
        <v>120000</v>
      </c>
      <c r="I60" s="84">
        <f t="shared" ref="I60:I65" si="40">SUM(J60:M60)</f>
        <v>7970</v>
      </c>
      <c r="J60" s="84">
        <v>7970</v>
      </c>
      <c r="K60" s="84"/>
      <c r="L60" s="84"/>
      <c r="M60" s="84"/>
      <c r="N60" s="84">
        <f t="shared" ref="N60:N65" si="41">H60+I60</f>
        <v>127970</v>
      </c>
      <c r="O60" s="84">
        <f>120000*80%</f>
        <v>96000</v>
      </c>
      <c r="P60" s="90">
        <v>0</v>
      </c>
      <c r="Q60" s="84"/>
      <c r="R60" s="84"/>
      <c r="S60" s="84"/>
      <c r="T60" s="84"/>
      <c r="U60" s="84"/>
      <c r="V60" s="84"/>
      <c r="W60" s="84"/>
      <c r="X60" s="84"/>
      <c r="Y60" s="84"/>
      <c r="Z60" s="84">
        <f t="shared" si="1"/>
        <v>0</v>
      </c>
      <c r="AA60" s="90">
        <v>0</v>
      </c>
      <c r="AB60" s="90">
        <f t="shared" si="25"/>
        <v>0</v>
      </c>
      <c r="AC60" s="90">
        <v>0</v>
      </c>
      <c r="AD60" s="81"/>
      <c r="AE60" s="81"/>
      <c r="AF60" s="81"/>
    </row>
    <row r="61" spans="1:32" s="82" customFormat="1" ht="25.5" hidden="1" x14ac:dyDescent="0.2">
      <c r="A61" s="91" t="s">
        <v>256</v>
      </c>
      <c r="B61" s="101"/>
      <c r="C61" s="89"/>
      <c r="D61" s="89"/>
      <c r="E61" s="89" t="s">
        <v>196</v>
      </c>
      <c r="F61" s="89"/>
      <c r="G61" s="89" t="s">
        <v>188</v>
      </c>
      <c r="H61" s="84"/>
      <c r="I61" s="84">
        <f t="shared" si="40"/>
        <v>-7970</v>
      </c>
      <c r="J61" s="84">
        <v>-7970</v>
      </c>
      <c r="K61" s="84"/>
      <c r="L61" s="84"/>
      <c r="M61" s="84"/>
      <c r="N61" s="84">
        <f t="shared" si="41"/>
        <v>-7970</v>
      </c>
      <c r="O61" s="84"/>
      <c r="P61" s="90">
        <v>0</v>
      </c>
      <c r="Q61" s="84"/>
      <c r="R61" s="84"/>
      <c r="S61" s="84"/>
      <c r="T61" s="84"/>
      <c r="U61" s="84"/>
      <c r="V61" s="84"/>
      <c r="W61" s="84"/>
      <c r="X61" s="84"/>
      <c r="Y61" s="84"/>
      <c r="Z61" s="84">
        <f t="shared" si="1"/>
        <v>0</v>
      </c>
      <c r="AA61" s="90">
        <v>0</v>
      </c>
      <c r="AB61" s="90">
        <f t="shared" si="25"/>
        <v>0</v>
      </c>
      <c r="AC61" s="90">
        <v>0</v>
      </c>
      <c r="AD61" s="81"/>
      <c r="AE61" s="81"/>
      <c r="AF61" s="81"/>
    </row>
    <row r="62" spans="1:32" s="109" customFormat="1" x14ac:dyDescent="0.2">
      <c r="A62" s="112" t="s">
        <v>257</v>
      </c>
      <c r="B62" s="113">
        <v>804</v>
      </c>
      <c r="C62" s="104" t="s">
        <v>215</v>
      </c>
      <c r="D62" s="104" t="s">
        <v>195</v>
      </c>
      <c r="E62" s="104" t="s">
        <v>207</v>
      </c>
      <c r="F62" s="104" t="s">
        <v>187</v>
      </c>
      <c r="G62" s="104"/>
      <c r="H62" s="105"/>
      <c r="I62" s="105">
        <f t="shared" si="40"/>
        <v>0</v>
      </c>
      <c r="J62" s="105">
        <v>0</v>
      </c>
      <c r="K62" s="105">
        <v>0</v>
      </c>
      <c r="L62" s="105">
        <v>0</v>
      </c>
      <c r="M62" s="105">
        <v>0</v>
      </c>
      <c r="N62" s="105">
        <f t="shared" si="41"/>
        <v>0</v>
      </c>
      <c r="O62" s="105"/>
      <c r="P62" s="106">
        <f>226800+426200-450000</f>
        <v>203000</v>
      </c>
      <c r="Q62" s="105">
        <f>R62+T62+U62+V62</f>
        <v>0</v>
      </c>
      <c r="R62" s="105">
        <v>0</v>
      </c>
      <c r="S62" s="105"/>
      <c r="T62" s="105"/>
      <c r="U62" s="105">
        <v>0</v>
      </c>
      <c r="V62" s="105"/>
      <c r="W62" s="105"/>
      <c r="X62" s="105">
        <f>P62+Q62</f>
        <v>203000</v>
      </c>
      <c r="Y62" s="105"/>
      <c r="Z62" s="105">
        <f t="shared" si="1"/>
        <v>310384.92</v>
      </c>
      <c r="AA62" s="106">
        <v>513384.92</v>
      </c>
      <c r="AB62" s="90">
        <f t="shared" si="25"/>
        <v>0</v>
      </c>
      <c r="AC62" s="106">
        <v>513384.92</v>
      </c>
      <c r="AD62" s="107"/>
      <c r="AE62" s="108"/>
      <c r="AF62" s="108"/>
    </row>
    <row r="63" spans="1:32" s="109" customFormat="1" hidden="1" x14ac:dyDescent="0.2">
      <c r="A63" s="112" t="s">
        <v>258</v>
      </c>
      <c r="B63" s="113">
        <v>804</v>
      </c>
      <c r="C63" s="104" t="s">
        <v>215</v>
      </c>
      <c r="D63" s="104"/>
      <c r="E63" s="104"/>
      <c r="F63" s="104" t="s">
        <v>187</v>
      </c>
      <c r="G63" s="104" t="s">
        <v>259</v>
      </c>
      <c r="H63" s="105">
        <v>0</v>
      </c>
      <c r="I63" s="105">
        <f t="shared" si="40"/>
        <v>0</v>
      </c>
      <c r="J63" s="105"/>
      <c r="K63" s="105"/>
      <c r="L63" s="105"/>
      <c r="M63" s="105"/>
      <c r="N63" s="105">
        <f t="shared" si="41"/>
        <v>0</v>
      </c>
      <c r="O63" s="105">
        <v>0</v>
      </c>
      <c r="P63" s="106">
        <v>0</v>
      </c>
      <c r="Q63" s="105"/>
      <c r="R63" s="105"/>
      <c r="S63" s="105"/>
      <c r="T63" s="105"/>
      <c r="U63" s="105"/>
      <c r="V63" s="105"/>
      <c r="W63" s="105"/>
      <c r="X63" s="105"/>
      <c r="Y63" s="105"/>
      <c r="Z63" s="105">
        <f t="shared" si="1"/>
        <v>0</v>
      </c>
      <c r="AA63" s="106">
        <v>0</v>
      </c>
      <c r="AB63" s="90">
        <f t="shared" si="25"/>
        <v>0</v>
      </c>
      <c r="AC63" s="106">
        <v>0</v>
      </c>
      <c r="AD63" s="107"/>
      <c r="AE63" s="108"/>
      <c r="AF63" s="108"/>
    </row>
    <row r="64" spans="1:32" s="109" customFormat="1" hidden="1" x14ac:dyDescent="0.2">
      <c r="A64" s="112" t="s">
        <v>260</v>
      </c>
      <c r="B64" s="113">
        <v>804</v>
      </c>
      <c r="C64" s="104" t="s">
        <v>215</v>
      </c>
      <c r="D64" s="104" t="s">
        <v>195</v>
      </c>
      <c r="E64" s="104" t="s">
        <v>184</v>
      </c>
      <c r="F64" s="104" t="s">
        <v>187</v>
      </c>
      <c r="G64" s="104" t="s">
        <v>188</v>
      </c>
      <c r="H64" s="105">
        <f>200000/2</f>
        <v>100000</v>
      </c>
      <c r="I64" s="105">
        <f t="shared" si="40"/>
        <v>-5000</v>
      </c>
      <c r="J64" s="105">
        <v>-5000</v>
      </c>
      <c r="K64" s="105">
        <v>0</v>
      </c>
      <c r="L64" s="105">
        <v>0</v>
      </c>
      <c r="M64" s="105">
        <v>0</v>
      </c>
      <c r="N64" s="105">
        <f t="shared" si="41"/>
        <v>95000</v>
      </c>
      <c r="O64" s="105">
        <f>(200000/2)*80%</f>
        <v>80000</v>
      </c>
      <c r="P64" s="106">
        <v>0</v>
      </c>
      <c r="Q64" s="105">
        <v>0</v>
      </c>
      <c r="R64" s="105"/>
      <c r="S64" s="105">
        <v>0</v>
      </c>
      <c r="T64" s="105"/>
      <c r="U64" s="105"/>
      <c r="V64" s="105"/>
      <c r="W64" s="105"/>
      <c r="X64" s="105">
        <f>P64+Q64</f>
        <v>0</v>
      </c>
      <c r="Y64" s="105"/>
      <c r="Z64" s="105">
        <f t="shared" si="1"/>
        <v>0</v>
      </c>
      <c r="AA64" s="106">
        <v>0</v>
      </c>
      <c r="AB64" s="90">
        <f t="shared" si="25"/>
        <v>0</v>
      </c>
      <c r="AC64" s="106">
        <v>0</v>
      </c>
      <c r="AD64" s="107"/>
      <c r="AE64" s="108"/>
      <c r="AF64" s="108"/>
    </row>
    <row r="65" spans="1:32" s="109" customFormat="1" ht="25.5" hidden="1" x14ac:dyDescent="0.2">
      <c r="A65" s="112" t="s">
        <v>261</v>
      </c>
      <c r="B65" s="113">
        <v>804</v>
      </c>
      <c r="C65" s="104" t="s">
        <v>215</v>
      </c>
      <c r="D65" s="104" t="s">
        <v>195</v>
      </c>
      <c r="E65" s="104" t="s">
        <v>184</v>
      </c>
      <c r="F65" s="104" t="s">
        <v>187</v>
      </c>
      <c r="G65" s="104" t="s">
        <v>188</v>
      </c>
      <c r="H65" s="105">
        <v>35000</v>
      </c>
      <c r="I65" s="105">
        <f t="shared" si="40"/>
        <v>0</v>
      </c>
      <c r="J65" s="105"/>
      <c r="K65" s="105"/>
      <c r="L65" s="105"/>
      <c r="M65" s="105"/>
      <c r="N65" s="105">
        <f t="shared" si="41"/>
        <v>35000</v>
      </c>
      <c r="O65" s="105">
        <f>35000*80%</f>
        <v>28000</v>
      </c>
      <c r="P65" s="105">
        <v>0</v>
      </c>
      <c r="Q65" s="105">
        <f>R65+S65+T65+U65+V65</f>
        <v>0</v>
      </c>
      <c r="R65" s="105">
        <v>0</v>
      </c>
      <c r="S65" s="105"/>
      <c r="T65" s="105"/>
      <c r="U65" s="105">
        <v>0</v>
      </c>
      <c r="V65" s="105"/>
      <c r="W65" s="105"/>
      <c r="X65" s="105">
        <f>P65+Q65</f>
        <v>0</v>
      </c>
      <c r="Y65" s="105"/>
      <c r="Z65" s="105">
        <f t="shared" si="1"/>
        <v>0</v>
      </c>
      <c r="AA65" s="105">
        <v>0</v>
      </c>
      <c r="AB65" s="90">
        <f t="shared" si="25"/>
        <v>0</v>
      </c>
      <c r="AC65" s="105">
        <v>0</v>
      </c>
      <c r="AD65" s="107"/>
      <c r="AE65" s="108"/>
      <c r="AF65" s="108"/>
    </row>
    <row r="66" spans="1:32" s="109" customFormat="1" ht="25.5" hidden="1" x14ac:dyDescent="0.2">
      <c r="A66" s="112" t="s">
        <v>261</v>
      </c>
      <c r="B66" s="113">
        <v>804</v>
      </c>
      <c r="C66" s="104" t="s">
        <v>215</v>
      </c>
      <c r="D66" s="104" t="s">
        <v>195</v>
      </c>
      <c r="E66" s="104" t="s">
        <v>196</v>
      </c>
      <c r="F66" s="104" t="s">
        <v>187</v>
      </c>
      <c r="G66" s="104" t="s">
        <v>188</v>
      </c>
      <c r="H66" s="105"/>
      <c r="I66" s="105"/>
      <c r="J66" s="105"/>
      <c r="K66" s="105"/>
      <c r="L66" s="105"/>
      <c r="M66" s="105"/>
      <c r="N66" s="105"/>
      <c r="O66" s="105"/>
      <c r="P66" s="105">
        <v>0</v>
      </c>
      <c r="Q66" s="105">
        <f>R66+S66+T66+U66+V66</f>
        <v>0</v>
      </c>
      <c r="R66" s="105">
        <v>0</v>
      </c>
      <c r="S66" s="105"/>
      <c r="T66" s="105"/>
      <c r="U66" s="105"/>
      <c r="V66" s="105"/>
      <c r="W66" s="105"/>
      <c r="X66" s="105">
        <f>P66+Q66</f>
        <v>0</v>
      </c>
      <c r="Y66" s="105"/>
      <c r="Z66" s="105">
        <f t="shared" si="1"/>
        <v>0</v>
      </c>
      <c r="AA66" s="105">
        <v>0</v>
      </c>
      <c r="AB66" s="90">
        <f t="shared" si="25"/>
        <v>0</v>
      </c>
      <c r="AC66" s="105">
        <v>0</v>
      </c>
      <c r="AD66" s="107"/>
      <c r="AE66" s="108"/>
      <c r="AF66" s="108"/>
    </row>
    <row r="67" spans="1:32" s="109" customFormat="1" hidden="1" x14ac:dyDescent="0.2">
      <c r="A67" s="112"/>
      <c r="B67" s="113">
        <v>804</v>
      </c>
      <c r="C67" s="104" t="s">
        <v>215</v>
      </c>
      <c r="D67" s="104"/>
      <c r="E67" s="104" t="s">
        <v>207</v>
      </c>
      <c r="F67" s="104" t="s">
        <v>187</v>
      </c>
      <c r="G67" s="104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>
        <f t="shared" si="1"/>
        <v>0</v>
      </c>
      <c r="AA67" s="105"/>
      <c r="AB67" s="90">
        <f t="shared" si="25"/>
        <v>0</v>
      </c>
      <c r="AC67" s="105"/>
      <c r="AD67" s="107"/>
      <c r="AE67" s="108"/>
      <c r="AF67" s="108"/>
    </row>
    <row r="68" spans="1:32" s="109" customFormat="1" x14ac:dyDescent="0.2">
      <c r="A68" s="112" t="s">
        <v>262</v>
      </c>
      <c r="B68" s="113">
        <v>804</v>
      </c>
      <c r="C68" s="104" t="s">
        <v>215</v>
      </c>
      <c r="D68" s="104" t="s">
        <v>195</v>
      </c>
      <c r="E68" s="104" t="s">
        <v>196</v>
      </c>
      <c r="F68" s="104" t="s">
        <v>187</v>
      </c>
      <c r="G68" s="104" t="s">
        <v>263</v>
      </c>
      <c r="H68" s="105">
        <v>51000</v>
      </c>
      <c r="I68" s="105">
        <f>SUM(J68:M68)</f>
        <v>0</v>
      </c>
      <c r="J68" s="105">
        <v>0</v>
      </c>
      <c r="K68" s="105">
        <v>0</v>
      </c>
      <c r="L68" s="105">
        <v>0</v>
      </c>
      <c r="M68" s="105">
        <v>0</v>
      </c>
      <c r="N68" s="105">
        <f>H68+I68</f>
        <v>51000</v>
      </c>
      <c r="O68" s="105">
        <f>51000*80%</f>
        <v>40800</v>
      </c>
      <c r="P68" s="106">
        <f>10000+20000</f>
        <v>30000</v>
      </c>
      <c r="Q68" s="105">
        <f>R68+S68+T68+U68+V68</f>
        <v>0</v>
      </c>
      <c r="R68" s="105">
        <v>0</v>
      </c>
      <c r="S68" s="105">
        <v>0</v>
      </c>
      <c r="T68" s="105"/>
      <c r="U68" s="105"/>
      <c r="V68" s="105"/>
      <c r="W68" s="105"/>
      <c r="X68" s="105">
        <f t="shared" ref="X68:X74" si="42">P68+Q68</f>
        <v>30000</v>
      </c>
      <c r="Y68" s="105"/>
      <c r="Z68" s="105">
        <f t="shared" si="1"/>
        <v>-3857</v>
      </c>
      <c r="AA68" s="106">
        <v>26143</v>
      </c>
      <c r="AB68" s="90">
        <f t="shared" si="25"/>
        <v>0</v>
      </c>
      <c r="AC68" s="106">
        <v>26143</v>
      </c>
      <c r="AD68" s="107"/>
      <c r="AE68" s="108"/>
      <c r="AF68" s="108"/>
    </row>
    <row r="69" spans="1:32" s="109" customFormat="1" hidden="1" x14ac:dyDescent="0.2">
      <c r="A69" s="112" t="s">
        <v>264</v>
      </c>
      <c r="B69" s="113">
        <v>804</v>
      </c>
      <c r="C69" s="104" t="s">
        <v>215</v>
      </c>
      <c r="D69" s="104" t="s">
        <v>195</v>
      </c>
      <c r="E69" s="104" t="s">
        <v>196</v>
      </c>
      <c r="F69" s="104" t="s">
        <v>187</v>
      </c>
      <c r="G69" s="104" t="s">
        <v>265</v>
      </c>
      <c r="H69" s="105"/>
      <c r="I69" s="105"/>
      <c r="J69" s="105"/>
      <c r="K69" s="105"/>
      <c r="L69" s="105"/>
      <c r="M69" s="105"/>
      <c r="N69" s="105"/>
      <c r="O69" s="105"/>
      <c r="P69" s="106">
        <v>0</v>
      </c>
      <c r="Q69" s="105">
        <f t="shared" ref="Q69:Q74" si="43">R69+S69+T69+U69</f>
        <v>0</v>
      </c>
      <c r="R69" s="105">
        <v>0</v>
      </c>
      <c r="S69" s="105">
        <v>0</v>
      </c>
      <c r="T69" s="105"/>
      <c r="U69" s="105"/>
      <c r="V69" s="105"/>
      <c r="W69" s="105"/>
      <c r="X69" s="105">
        <f t="shared" si="42"/>
        <v>0</v>
      </c>
      <c r="Y69" s="105"/>
      <c r="Z69" s="105">
        <f t="shared" si="1"/>
        <v>0</v>
      </c>
      <c r="AA69" s="106">
        <v>0</v>
      </c>
      <c r="AB69" s="90">
        <f t="shared" si="25"/>
        <v>0</v>
      </c>
      <c r="AC69" s="106">
        <v>0</v>
      </c>
      <c r="AD69" s="107"/>
      <c r="AE69" s="108"/>
      <c r="AF69" s="108"/>
    </row>
    <row r="70" spans="1:32" s="109" customFormat="1" x14ac:dyDescent="0.2">
      <c r="A70" s="112" t="s">
        <v>255</v>
      </c>
      <c r="B70" s="113">
        <v>804</v>
      </c>
      <c r="C70" s="104" t="s">
        <v>215</v>
      </c>
      <c r="D70" s="104" t="s">
        <v>195</v>
      </c>
      <c r="E70" s="104" t="s">
        <v>196</v>
      </c>
      <c r="F70" s="104" t="s">
        <v>187</v>
      </c>
      <c r="G70" s="104" t="s">
        <v>266</v>
      </c>
      <c r="H70" s="105">
        <v>20000</v>
      </c>
      <c r="I70" s="105"/>
      <c r="J70" s="105"/>
      <c r="K70" s="105"/>
      <c r="L70" s="105"/>
      <c r="M70" s="105"/>
      <c r="N70" s="105"/>
      <c r="O70" s="105">
        <f>20000*80%</f>
        <v>16000</v>
      </c>
      <c r="P70" s="106">
        <v>0</v>
      </c>
      <c r="Q70" s="105">
        <f t="shared" si="43"/>
        <v>0</v>
      </c>
      <c r="R70" s="105">
        <v>0</v>
      </c>
      <c r="S70" s="105">
        <v>0</v>
      </c>
      <c r="T70" s="105"/>
      <c r="U70" s="105"/>
      <c r="V70" s="105"/>
      <c r="W70" s="105"/>
      <c r="X70" s="105">
        <f t="shared" si="42"/>
        <v>0</v>
      </c>
      <c r="Y70" s="105"/>
      <c r="Z70" s="105">
        <f t="shared" si="1"/>
        <v>23257</v>
      </c>
      <c r="AA70" s="106">
        <v>23257</v>
      </c>
      <c r="AB70" s="90">
        <f t="shared" si="25"/>
        <v>0</v>
      </c>
      <c r="AC70" s="106">
        <v>23257</v>
      </c>
      <c r="AD70" s="107"/>
      <c r="AE70" s="108"/>
      <c r="AF70" s="108"/>
    </row>
    <row r="71" spans="1:32" s="82" customFormat="1" hidden="1" x14ac:dyDescent="0.2">
      <c r="A71" s="91" t="s">
        <v>267</v>
      </c>
      <c r="B71" s="101"/>
      <c r="C71" s="89"/>
      <c r="D71" s="89"/>
      <c r="E71" s="89" t="s">
        <v>196</v>
      </c>
      <c r="F71" s="89"/>
      <c r="G71" s="89" t="s">
        <v>268</v>
      </c>
      <c r="H71" s="84">
        <v>50000</v>
      </c>
      <c r="I71" s="84">
        <f>SUM(J71:M71)</f>
        <v>16000</v>
      </c>
      <c r="J71" s="84">
        <v>0</v>
      </c>
      <c r="K71" s="84">
        <v>0</v>
      </c>
      <c r="L71" s="84">
        <v>0</v>
      </c>
      <c r="M71" s="84">
        <v>16000</v>
      </c>
      <c r="N71" s="84">
        <f>H71+I71</f>
        <v>66000</v>
      </c>
      <c r="O71" s="84">
        <f>50000*80%</f>
        <v>40000</v>
      </c>
      <c r="P71" s="90">
        <v>0</v>
      </c>
      <c r="Q71" s="84">
        <f t="shared" si="43"/>
        <v>0</v>
      </c>
      <c r="R71" s="84"/>
      <c r="S71" s="84"/>
      <c r="T71" s="84"/>
      <c r="U71" s="84"/>
      <c r="V71" s="84"/>
      <c r="W71" s="84"/>
      <c r="X71" s="84">
        <f t="shared" si="42"/>
        <v>0</v>
      </c>
      <c r="Y71" s="84"/>
      <c r="Z71" s="84">
        <f t="shared" si="1"/>
        <v>0</v>
      </c>
      <c r="AA71" s="90">
        <v>0</v>
      </c>
      <c r="AB71" s="90">
        <f t="shared" si="25"/>
        <v>0</v>
      </c>
      <c r="AC71" s="90">
        <v>0</v>
      </c>
      <c r="AD71" s="85"/>
      <c r="AE71" s="81"/>
      <c r="AF71" s="81"/>
    </row>
    <row r="72" spans="1:32" s="82" customFormat="1" hidden="1" x14ac:dyDescent="0.2">
      <c r="A72" s="114" t="s">
        <v>269</v>
      </c>
      <c r="B72" s="93">
        <v>804</v>
      </c>
      <c r="C72" s="94" t="s">
        <v>215</v>
      </c>
      <c r="D72" s="94" t="s">
        <v>270</v>
      </c>
      <c r="E72" s="94" t="s">
        <v>190</v>
      </c>
      <c r="F72" s="94" t="s">
        <v>271</v>
      </c>
      <c r="G72" s="94"/>
      <c r="H72" s="97">
        <f t="shared" ref="H72:P72" si="44">H73</f>
        <v>200309.54</v>
      </c>
      <c r="I72" s="97">
        <f t="shared" si="44"/>
        <v>0</v>
      </c>
      <c r="J72" s="97">
        <f t="shared" si="44"/>
        <v>0</v>
      </c>
      <c r="K72" s="97">
        <f t="shared" si="44"/>
        <v>0</v>
      </c>
      <c r="L72" s="97">
        <f t="shared" si="44"/>
        <v>0</v>
      </c>
      <c r="M72" s="97">
        <f t="shared" si="44"/>
        <v>0</v>
      </c>
      <c r="N72" s="97">
        <f t="shared" si="44"/>
        <v>200309.54</v>
      </c>
      <c r="O72" s="97">
        <f t="shared" si="44"/>
        <v>200309.54</v>
      </c>
      <c r="P72" s="97">
        <f t="shared" si="44"/>
        <v>0</v>
      </c>
      <c r="Q72" s="84">
        <f t="shared" si="43"/>
        <v>0</v>
      </c>
      <c r="R72" s="97"/>
      <c r="S72" s="84"/>
      <c r="T72" s="84"/>
      <c r="U72" s="84"/>
      <c r="V72" s="84"/>
      <c r="W72" s="84"/>
      <c r="X72" s="84">
        <f t="shared" si="42"/>
        <v>0</v>
      </c>
      <c r="Y72" s="84"/>
      <c r="Z72" s="84">
        <f t="shared" si="1"/>
        <v>0</v>
      </c>
      <c r="AA72" s="97">
        <f>AA73</f>
        <v>0</v>
      </c>
      <c r="AB72" s="90">
        <f t="shared" si="25"/>
        <v>0</v>
      </c>
      <c r="AC72" s="97">
        <f>AC73</f>
        <v>0</v>
      </c>
      <c r="AD72" s="85"/>
      <c r="AE72" s="81"/>
      <c r="AF72" s="81"/>
    </row>
    <row r="73" spans="1:32" s="82" customFormat="1" ht="25.5" hidden="1" x14ac:dyDescent="0.2">
      <c r="A73" s="91" t="s">
        <v>272</v>
      </c>
      <c r="B73" s="71">
        <v>804</v>
      </c>
      <c r="C73" s="115" t="s">
        <v>215</v>
      </c>
      <c r="D73" s="115" t="s">
        <v>270</v>
      </c>
      <c r="E73" s="115" t="s">
        <v>190</v>
      </c>
      <c r="F73" s="115" t="s">
        <v>273</v>
      </c>
      <c r="G73" s="94"/>
      <c r="H73" s="90">
        <v>200309.54</v>
      </c>
      <c r="I73" s="84">
        <f>SUM(J73:M73)</f>
        <v>0</v>
      </c>
      <c r="J73" s="90">
        <v>0</v>
      </c>
      <c r="K73" s="90">
        <v>0</v>
      </c>
      <c r="L73" s="90">
        <v>0</v>
      </c>
      <c r="M73" s="90">
        <v>0</v>
      </c>
      <c r="N73" s="84">
        <f>H73+I73</f>
        <v>200309.54</v>
      </c>
      <c r="O73" s="90">
        <v>200309.54</v>
      </c>
      <c r="P73" s="90">
        <v>0</v>
      </c>
      <c r="Q73" s="84">
        <f t="shared" si="43"/>
        <v>0</v>
      </c>
      <c r="R73" s="90"/>
      <c r="S73" s="84"/>
      <c r="T73" s="84"/>
      <c r="U73" s="84"/>
      <c r="V73" s="84"/>
      <c r="W73" s="84"/>
      <c r="X73" s="84">
        <f t="shared" si="42"/>
        <v>0</v>
      </c>
      <c r="Y73" s="84"/>
      <c r="Z73" s="84">
        <f t="shared" ref="Z73:Z135" si="45">AA73-P73</f>
        <v>0</v>
      </c>
      <c r="AA73" s="90">
        <v>0</v>
      </c>
      <c r="AB73" s="90">
        <f t="shared" si="25"/>
        <v>0</v>
      </c>
      <c r="AC73" s="90">
        <v>0</v>
      </c>
      <c r="AD73" s="85"/>
      <c r="AE73" s="81"/>
      <c r="AF73" s="81"/>
    </row>
    <row r="74" spans="1:32" s="82" customFormat="1" hidden="1" x14ac:dyDescent="0.2">
      <c r="A74" s="91" t="s">
        <v>274</v>
      </c>
      <c r="B74" s="93"/>
      <c r="C74" s="115"/>
      <c r="D74" s="115"/>
      <c r="E74" s="115" t="s">
        <v>196</v>
      </c>
      <c r="F74" s="115"/>
      <c r="G74" s="115" t="s">
        <v>268</v>
      </c>
      <c r="H74" s="90"/>
      <c r="I74" s="84"/>
      <c r="J74" s="90"/>
      <c r="K74" s="90"/>
      <c r="L74" s="90"/>
      <c r="M74" s="90"/>
      <c r="N74" s="84"/>
      <c r="O74" s="90"/>
      <c r="P74" s="90">
        <v>0</v>
      </c>
      <c r="Q74" s="84">
        <f t="shared" si="43"/>
        <v>0</v>
      </c>
      <c r="R74" s="90"/>
      <c r="S74" s="84"/>
      <c r="T74" s="84"/>
      <c r="U74" s="84">
        <v>0</v>
      </c>
      <c r="V74" s="84"/>
      <c r="W74" s="84"/>
      <c r="X74" s="84">
        <f t="shared" si="42"/>
        <v>0</v>
      </c>
      <c r="Y74" s="84"/>
      <c r="Z74" s="84">
        <f t="shared" si="45"/>
        <v>0</v>
      </c>
      <c r="AA74" s="90">
        <v>0</v>
      </c>
      <c r="AB74" s="90">
        <f t="shared" si="25"/>
        <v>0</v>
      </c>
      <c r="AC74" s="90">
        <v>0</v>
      </c>
      <c r="AD74" s="85"/>
      <c r="AE74" s="81"/>
      <c r="AF74" s="81"/>
    </row>
    <row r="75" spans="1:32" s="82" customFormat="1" x14ac:dyDescent="0.2">
      <c r="A75" s="87" t="s">
        <v>275</v>
      </c>
      <c r="B75" s="71">
        <v>804</v>
      </c>
      <c r="C75" s="89" t="s">
        <v>215</v>
      </c>
      <c r="D75" s="115" t="s">
        <v>195</v>
      </c>
      <c r="E75" s="89" t="s">
        <v>168</v>
      </c>
      <c r="F75" s="89" t="s">
        <v>276</v>
      </c>
      <c r="G75" s="89"/>
      <c r="H75" s="84">
        <f t="shared" ref="H75:O75" si="46">SUM(H76:H78)</f>
        <v>0</v>
      </c>
      <c r="I75" s="84">
        <f t="shared" si="46"/>
        <v>0</v>
      </c>
      <c r="J75" s="84">
        <f t="shared" si="46"/>
        <v>0</v>
      </c>
      <c r="K75" s="84">
        <f t="shared" si="46"/>
        <v>0</v>
      </c>
      <c r="L75" s="84">
        <f t="shared" si="46"/>
        <v>0</v>
      </c>
      <c r="M75" s="84">
        <f t="shared" si="46"/>
        <v>0</v>
      </c>
      <c r="N75" s="84">
        <f t="shared" si="46"/>
        <v>0</v>
      </c>
      <c r="O75" s="84">
        <f t="shared" si="46"/>
        <v>74564</v>
      </c>
      <c r="P75" s="90">
        <f t="shared" ref="P75:X75" si="47">P78+P79</f>
        <v>17424</v>
      </c>
      <c r="Q75" s="90">
        <f t="shared" si="47"/>
        <v>0</v>
      </c>
      <c r="R75" s="90">
        <f t="shared" si="47"/>
        <v>0</v>
      </c>
      <c r="S75" s="90">
        <f t="shared" si="47"/>
        <v>0</v>
      </c>
      <c r="T75" s="90">
        <f t="shared" si="47"/>
        <v>0</v>
      </c>
      <c r="U75" s="90">
        <f t="shared" si="47"/>
        <v>0</v>
      </c>
      <c r="V75" s="90">
        <f t="shared" si="47"/>
        <v>0</v>
      </c>
      <c r="W75" s="90">
        <f t="shared" si="47"/>
        <v>0</v>
      </c>
      <c r="X75" s="90">
        <f t="shared" si="47"/>
        <v>17424</v>
      </c>
      <c r="Y75" s="84"/>
      <c r="Z75" s="84">
        <f t="shared" si="45"/>
        <v>0</v>
      </c>
      <c r="AA75" s="80">
        <f>AA78+AA79</f>
        <v>17424</v>
      </c>
      <c r="AB75" s="80">
        <f t="shared" si="25"/>
        <v>0</v>
      </c>
      <c r="AC75" s="80">
        <f>AC78+AC79</f>
        <v>17424</v>
      </c>
      <c r="AD75" s="85"/>
      <c r="AE75" s="81"/>
      <c r="AF75" s="81"/>
    </row>
    <row r="76" spans="1:32" s="82" customFormat="1" hidden="1" x14ac:dyDescent="0.2">
      <c r="A76" s="87" t="s">
        <v>277</v>
      </c>
      <c r="B76" s="71"/>
      <c r="C76" s="89"/>
      <c r="D76" s="89"/>
      <c r="E76" s="89" t="s">
        <v>278</v>
      </c>
      <c r="F76" s="89"/>
      <c r="G76" s="89" t="s">
        <v>279</v>
      </c>
      <c r="H76" s="84">
        <v>0</v>
      </c>
      <c r="I76" s="84">
        <f>SUM(J76:M76)</f>
        <v>0</v>
      </c>
      <c r="J76" s="84"/>
      <c r="K76" s="84"/>
      <c r="L76" s="84"/>
      <c r="M76" s="84"/>
      <c r="N76" s="84">
        <f>H76+I76</f>
        <v>0</v>
      </c>
      <c r="O76" s="84">
        <v>54564</v>
      </c>
      <c r="P76" s="90">
        <v>0</v>
      </c>
      <c r="Q76" s="84"/>
      <c r="R76" s="84"/>
      <c r="S76" s="84"/>
      <c r="T76" s="84"/>
      <c r="U76" s="84"/>
      <c r="V76" s="84"/>
      <c r="W76" s="84"/>
      <c r="X76" s="84"/>
      <c r="Y76" s="84"/>
      <c r="Z76" s="84">
        <f t="shared" si="45"/>
        <v>0</v>
      </c>
      <c r="AA76" s="90">
        <v>0</v>
      </c>
      <c r="AB76" s="90">
        <f t="shared" si="25"/>
        <v>0</v>
      </c>
      <c r="AC76" s="90">
        <v>0</v>
      </c>
      <c r="AD76" s="85"/>
      <c r="AE76" s="81"/>
      <c r="AF76" s="81"/>
    </row>
    <row r="77" spans="1:32" s="82" customFormat="1" hidden="1" x14ac:dyDescent="0.2">
      <c r="A77" s="87" t="s">
        <v>280</v>
      </c>
      <c r="B77" s="71"/>
      <c r="C77" s="89"/>
      <c r="D77" s="89"/>
      <c r="E77" s="89" t="s">
        <v>281</v>
      </c>
      <c r="F77" s="89"/>
      <c r="G77" s="89" t="s">
        <v>282</v>
      </c>
      <c r="H77" s="84">
        <v>0</v>
      </c>
      <c r="I77" s="84">
        <f>SUM(J77:M77)</f>
        <v>0</v>
      </c>
      <c r="J77" s="84"/>
      <c r="K77" s="84"/>
      <c r="L77" s="84"/>
      <c r="M77" s="84"/>
      <c r="N77" s="84">
        <f>H77+I77</f>
        <v>0</v>
      </c>
      <c r="O77" s="84">
        <v>20000</v>
      </c>
      <c r="P77" s="90">
        <v>0</v>
      </c>
      <c r="Q77" s="84"/>
      <c r="R77" s="84"/>
      <c r="S77" s="84"/>
      <c r="T77" s="84"/>
      <c r="U77" s="84"/>
      <c r="V77" s="84"/>
      <c r="W77" s="84"/>
      <c r="X77" s="84"/>
      <c r="Y77" s="84"/>
      <c r="Z77" s="84">
        <f t="shared" si="45"/>
        <v>0</v>
      </c>
      <c r="AA77" s="90">
        <v>0</v>
      </c>
      <c r="AB77" s="90">
        <f t="shared" si="25"/>
        <v>0</v>
      </c>
      <c r="AC77" s="90">
        <v>0</v>
      </c>
      <c r="AD77" s="85"/>
      <c r="AE77" s="81"/>
      <c r="AF77" s="81"/>
    </row>
    <row r="78" spans="1:32" s="121" customFormat="1" ht="25.5" x14ac:dyDescent="0.2">
      <c r="A78" s="110" t="s">
        <v>283</v>
      </c>
      <c r="B78" s="113">
        <v>804</v>
      </c>
      <c r="C78" s="116" t="s">
        <v>215</v>
      </c>
      <c r="D78" s="116" t="s">
        <v>195</v>
      </c>
      <c r="E78" s="116" t="s">
        <v>284</v>
      </c>
      <c r="F78" s="116" t="s">
        <v>285</v>
      </c>
      <c r="G78" s="116"/>
      <c r="H78" s="117">
        <v>0</v>
      </c>
      <c r="I78" s="117">
        <f>SUM(J78:M78)</f>
        <v>0</v>
      </c>
      <c r="J78" s="117">
        <v>0</v>
      </c>
      <c r="K78" s="117">
        <v>0</v>
      </c>
      <c r="L78" s="117">
        <v>0</v>
      </c>
      <c r="M78" s="117">
        <v>0</v>
      </c>
      <c r="N78" s="117">
        <f>H78+I78</f>
        <v>0</v>
      </c>
      <c r="O78" s="117">
        <v>0</v>
      </c>
      <c r="P78" s="118">
        <v>17424</v>
      </c>
      <c r="Q78" s="117">
        <f>R78+S78+T78+U78+V78</f>
        <v>0</v>
      </c>
      <c r="R78" s="117">
        <v>0</v>
      </c>
      <c r="S78" s="117"/>
      <c r="T78" s="117"/>
      <c r="U78" s="117"/>
      <c r="V78" s="117"/>
      <c r="W78" s="117"/>
      <c r="X78" s="117">
        <f>P78+Q78</f>
        <v>17424</v>
      </c>
      <c r="Y78" s="117"/>
      <c r="Z78" s="117">
        <f t="shared" si="45"/>
        <v>0</v>
      </c>
      <c r="AA78" s="118">
        <v>17424</v>
      </c>
      <c r="AB78" s="90">
        <f t="shared" si="25"/>
        <v>0</v>
      </c>
      <c r="AC78" s="118">
        <v>17424</v>
      </c>
      <c r="AD78" s="119"/>
      <c r="AE78" s="120"/>
      <c r="AF78" s="120"/>
    </row>
    <row r="79" spans="1:32" s="82" customFormat="1" ht="25.5" hidden="1" x14ac:dyDescent="0.2">
      <c r="A79" s="87" t="s">
        <v>286</v>
      </c>
      <c r="B79" s="71"/>
      <c r="C79" s="89"/>
      <c r="D79" s="89"/>
      <c r="E79" s="89"/>
      <c r="F79" s="89"/>
      <c r="G79" s="89" t="s">
        <v>287</v>
      </c>
      <c r="H79" s="84"/>
      <c r="I79" s="84"/>
      <c r="J79" s="84"/>
      <c r="K79" s="84"/>
      <c r="L79" s="84"/>
      <c r="M79" s="84"/>
      <c r="N79" s="84"/>
      <c r="O79" s="84"/>
      <c r="P79" s="90">
        <v>0</v>
      </c>
      <c r="Q79" s="84">
        <f>R79+S79+T79+U79</f>
        <v>0</v>
      </c>
      <c r="R79" s="84"/>
      <c r="S79" s="84"/>
      <c r="T79" s="84"/>
      <c r="U79" s="84"/>
      <c r="V79" s="84"/>
      <c r="W79" s="84"/>
      <c r="X79" s="84">
        <f>P79+Q79</f>
        <v>0</v>
      </c>
      <c r="Y79" s="84"/>
      <c r="Z79" s="84">
        <f t="shared" si="45"/>
        <v>0</v>
      </c>
      <c r="AA79" s="90">
        <v>0</v>
      </c>
      <c r="AB79" s="90"/>
      <c r="AC79" s="90">
        <v>0</v>
      </c>
      <c r="AD79" s="85"/>
      <c r="AE79" s="81"/>
      <c r="AF79" s="81"/>
    </row>
    <row r="80" spans="1:32" s="82" customFormat="1" x14ac:dyDescent="0.2">
      <c r="A80" s="76" t="s">
        <v>194</v>
      </c>
      <c r="B80" s="93">
        <v>804</v>
      </c>
      <c r="C80" s="78" t="s">
        <v>215</v>
      </c>
      <c r="D80" s="94" t="s">
        <v>195</v>
      </c>
      <c r="E80" s="78" t="s">
        <v>196</v>
      </c>
      <c r="F80" s="78" t="s">
        <v>197</v>
      </c>
      <c r="G80" s="78"/>
      <c r="H80" s="79">
        <f t="shared" ref="H80:X80" si="48">H81+H84</f>
        <v>210000</v>
      </c>
      <c r="I80" s="79">
        <f t="shared" si="48"/>
        <v>26531.55</v>
      </c>
      <c r="J80" s="79">
        <f t="shared" si="48"/>
        <v>0</v>
      </c>
      <c r="K80" s="79">
        <f t="shared" si="48"/>
        <v>0</v>
      </c>
      <c r="L80" s="79">
        <f t="shared" si="48"/>
        <v>0</v>
      </c>
      <c r="M80" s="79">
        <f t="shared" si="48"/>
        <v>26531.55</v>
      </c>
      <c r="N80" s="79">
        <f t="shared" si="48"/>
        <v>236531.55</v>
      </c>
      <c r="O80" s="79">
        <f t="shared" si="48"/>
        <v>168000</v>
      </c>
      <c r="P80" s="80">
        <f t="shared" si="48"/>
        <v>60000</v>
      </c>
      <c r="Q80" s="80" t="e">
        <f t="shared" si="48"/>
        <v>#REF!</v>
      </c>
      <c r="R80" s="80" t="e">
        <f t="shared" si="48"/>
        <v>#REF!</v>
      </c>
      <c r="S80" s="80" t="e">
        <f t="shared" si="48"/>
        <v>#REF!</v>
      </c>
      <c r="T80" s="80" t="e">
        <f t="shared" si="48"/>
        <v>#REF!</v>
      </c>
      <c r="U80" s="80" t="e">
        <f t="shared" si="48"/>
        <v>#REF!</v>
      </c>
      <c r="V80" s="80" t="e">
        <f t="shared" si="48"/>
        <v>#REF!</v>
      </c>
      <c r="W80" s="80" t="e">
        <f t="shared" si="48"/>
        <v>#REF!</v>
      </c>
      <c r="X80" s="80" t="e">
        <f t="shared" si="48"/>
        <v>#REF!</v>
      </c>
      <c r="Y80" s="84"/>
      <c r="Z80" s="84">
        <f t="shared" si="45"/>
        <v>107811</v>
      </c>
      <c r="AA80" s="80">
        <f>AA81+AA84</f>
        <v>167811</v>
      </c>
      <c r="AB80" s="80">
        <f t="shared" ref="AB80:AC80" si="49">AB81+AB84</f>
        <v>74160.800000000003</v>
      </c>
      <c r="AC80" s="80">
        <f t="shared" si="49"/>
        <v>241971.8</v>
      </c>
      <c r="AD80" s="85"/>
      <c r="AE80" s="81"/>
      <c r="AF80" s="81"/>
    </row>
    <row r="81" spans="1:32" s="82" customFormat="1" x14ac:dyDescent="0.2">
      <c r="A81" s="87" t="s">
        <v>198</v>
      </c>
      <c r="B81" s="71">
        <v>804</v>
      </c>
      <c r="C81" s="89" t="s">
        <v>215</v>
      </c>
      <c r="D81" s="89" t="s">
        <v>195</v>
      </c>
      <c r="E81" s="89" t="s">
        <v>168</v>
      </c>
      <c r="F81" s="89" t="s">
        <v>199</v>
      </c>
      <c r="G81" s="78"/>
      <c r="H81" s="84">
        <f t="shared" ref="H81:X81" si="50">SUM(H82:H83)</f>
        <v>50000</v>
      </c>
      <c r="I81" s="84">
        <f t="shared" si="50"/>
        <v>0</v>
      </c>
      <c r="J81" s="84">
        <f t="shared" si="50"/>
        <v>0</v>
      </c>
      <c r="K81" s="84">
        <f t="shared" si="50"/>
        <v>0</v>
      </c>
      <c r="L81" s="84">
        <f t="shared" si="50"/>
        <v>0</v>
      </c>
      <c r="M81" s="84">
        <f t="shared" si="50"/>
        <v>0</v>
      </c>
      <c r="N81" s="84">
        <f t="shared" si="50"/>
        <v>50000</v>
      </c>
      <c r="O81" s="84">
        <f t="shared" si="50"/>
        <v>40000</v>
      </c>
      <c r="P81" s="90">
        <f t="shared" si="50"/>
        <v>0</v>
      </c>
      <c r="Q81" s="90">
        <f t="shared" si="50"/>
        <v>0</v>
      </c>
      <c r="R81" s="90">
        <f t="shared" si="50"/>
        <v>0</v>
      </c>
      <c r="S81" s="90">
        <f t="shared" si="50"/>
        <v>0</v>
      </c>
      <c r="T81" s="90">
        <f t="shared" si="50"/>
        <v>0</v>
      </c>
      <c r="U81" s="90">
        <f t="shared" si="50"/>
        <v>0</v>
      </c>
      <c r="V81" s="90">
        <f t="shared" si="50"/>
        <v>0</v>
      </c>
      <c r="W81" s="90">
        <f t="shared" si="50"/>
        <v>0</v>
      </c>
      <c r="X81" s="90">
        <f t="shared" si="50"/>
        <v>0</v>
      </c>
      <c r="Y81" s="84"/>
      <c r="Z81" s="84">
        <f t="shared" si="45"/>
        <v>28964</v>
      </c>
      <c r="AA81" s="80">
        <f>SUM(AA82:AA83)</f>
        <v>28964</v>
      </c>
      <c r="AB81" s="80">
        <f t="shared" ref="AB81:AC81" si="51">SUM(AB82:AB83)</f>
        <v>0</v>
      </c>
      <c r="AC81" s="80">
        <f t="shared" si="51"/>
        <v>28964</v>
      </c>
      <c r="AD81" s="81"/>
      <c r="AE81" s="81"/>
      <c r="AF81" s="81"/>
    </row>
    <row r="82" spans="1:32" s="82" customFormat="1" ht="38.25" hidden="1" x14ac:dyDescent="0.2">
      <c r="A82" s="92" t="s">
        <v>288</v>
      </c>
      <c r="B82" s="71"/>
      <c r="C82" s="89"/>
      <c r="D82" s="89"/>
      <c r="E82" s="89" t="s">
        <v>207</v>
      </c>
      <c r="F82" s="89"/>
      <c r="G82" s="89" t="s">
        <v>201</v>
      </c>
      <c r="H82" s="84">
        <v>30000</v>
      </c>
      <c r="I82" s="84">
        <f>SUM(J82:M82)</f>
        <v>0</v>
      </c>
      <c r="J82" s="84">
        <v>0</v>
      </c>
      <c r="K82" s="84"/>
      <c r="L82" s="84"/>
      <c r="M82" s="84"/>
      <c r="N82" s="84">
        <f>H82+I82</f>
        <v>30000</v>
      </c>
      <c r="O82" s="84">
        <f>30000*80%</f>
        <v>24000</v>
      </c>
      <c r="P82" s="90">
        <v>0</v>
      </c>
      <c r="Q82" s="84">
        <f>R82+S82+T82+U82+V82</f>
        <v>0</v>
      </c>
      <c r="R82" s="84">
        <v>0</v>
      </c>
      <c r="S82" s="84"/>
      <c r="T82" s="84"/>
      <c r="U82" s="84">
        <v>0</v>
      </c>
      <c r="V82" s="84"/>
      <c r="W82" s="84"/>
      <c r="X82" s="84">
        <f>P82+Q82</f>
        <v>0</v>
      </c>
      <c r="Y82" s="84"/>
      <c r="Z82" s="84">
        <f t="shared" si="45"/>
        <v>0</v>
      </c>
      <c r="AA82" s="90">
        <v>0</v>
      </c>
      <c r="AB82" s="90">
        <f t="shared" ref="AB82:AB88" si="52">AC82-AA82</f>
        <v>0</v>
      </c>
      <c r="AC82" s="90">
        <v>0</v>
      </c>
      <c r="AD82" s="81"/>
      <c r="AE82" s="81"/>
      <c r="AF82" s="81"/>
    </row>
    <row r="83" spans="1:32" s="82" customFormat="1" ht="38.25" x14ac:dyDescent="0.2">
      <c r="A83" s="92" t="s">
        <v>288</v>
      </c>
      <c r="B83" s="95" t="s">
        <v>289</v>
      </c>
      <c r="C83" s="89" t="s">
        <v>215</v>
      </c>
      <c r="D83" s="89" t="s">
        <v>195</v>
      </c>
      <c r="E83" s="89" t="s">
        <v>196</v>
      </c>
      <c r="F83" s="89" t="s">
        <v>199</v>
      </c>
      <c r="G83" s="89"/>
      <c r="H83" s="84">
        <v>20000</v>
      </c>
      <c r="I83" s="84">
        <f>SUM(J83:M83)</f>
        <v>0</v>
      </c>
      <c r="J83" s="84">
        <v>0</v>
      </c>
      <c r="K83" s="84">
        <v>0</v>
      </c>
      <c r="L83" s="84">
        <v>0</v>
      </c>
      <c r="M83" s="84">
        <v>0</v>
      </c>
      <c r="N83" s="84">
        <f>H83+I83</f>
        <v>20000</v>
      </c>
      <c r="O83" s="84">
        <f>20000*80%</f>
        <v>16000</v>
      </c>
      <c r="P83" s="90">
        <v>0</v>
      </c>
      <c r="Q83" s="84">
        <f>R83+S83+T83+U83</f>
        <v>0</v>
      </c>
      <c r="R83" s="84"/>
      <c r="S83" s="84"/>
      <c r="T83" s="84"/>
      <c r="U83" s="84"/>
      <c r="V83" s="84"/>
      <c r="W83" s="84"/>
      <c r="X83" s="84">
        <f>P83+Q83</f>
        <v>0</v>
      </c>
      <c r="Y83" s="84"/>
      <c r="Z83" s="84">
        <f t="shared" si="45"/>
        <v>28964</v>
      </c>
      <c r="AA83" s="90">
        <v>28964</v>
      </c>
      <c r="AB83" s="90">
        <f t="shared" si="52"/>
        <v>0</v>
      </c>
      <c r="AC83" s="90">
        <v>28964</v>
      </c>
      <c r="AD83" s="81"/>
      <c r="AE83" s="81"/>
      <c r="AF83" s="81"/>
    </row>
    <row r="84" spans="1:32" s="82" customFormat="1" x14ac:dyDescent="0.2">
      <c r="A84" s="87" t="s">
        <v>202</v>
      </c>
      <c r="B84" s="71">
        <v>804</v>
      </c>
      <c r="C84" s="89" t="s">
        <v>215</v>
      </c>
      <c r="D84" s="89" t="s">
        <v>195</v>
      </c>
      <c r="E84" s="89" t="s">
        <v>168</v>
      </c>
      <c r="F84" s="89" t="s">
        <v>203</v>
      </c>
      <c r="G84" s="89"/>
      <c r="H84" s="84">
        <f t="shared" ref="H84:O84" si="53">SUM(H85:H88)</f>
        <v>160000</v>
      </c>
      <c r="I84" s="84">
        <f t="shared" si="53"/>
        <v>26531.55</v>
      </c>
      <c r="J84" s="84">
        <f t="shared" si="53"/>
        <v>0</v>
      </c>
      <c r="K84" s="84">
        <f t="shared" si="53"/>
        <v>0</v>
      </c>
      <c r="L84" s="84">
        <f t="shared" si="53"/>
        <v>0</v>
      </c>
      <c r="M84" s="84">
        <f t="shared" si="53"/>
        <v>26531.55</v>
      </c>
      <c r="N84" s="84">
        <f t="shared" si="53"/>
        <v>186531.55</v>
      </c>
      <c r="O84" s="84">
        <f t="shared" si="53"/>
        <v>128000</v>
      </c>
      <c r="P84" s="90">
        <f>P86+P88</f>
        <v>60000</v>
      </c>
      <c r="Q84" s="90" t="e">
        <f>Q86+Q88+#REF!</f>
        <v>#REF!</v>
      </c>
      <c r="R84" s="90" t="e">
        <f>R86+R88+#REF!</f>
        <v>#REF!</v>
      </c>
      <c r="S84" s="90" t="e">
        <f>S86+S88+#REF!</f>
        <v>#REF!</v>
      </c>
      <c r="T84" s="90" t="e">
        <f>T86+T88+#REF!</f>
        <v>#REF!</v>
      </c>
      <c r="U84" s="90" t="e">
        <f>U86+U88+#REF!</f>
        <v>#REF!</v>
      </c>
      <c r="V84" s="90" t="e">
        <f>V86+V88+#REF!</f>
        <v>#REF!</v>
      </c>
      <c r="W84" s="90" t="e">
        <f>W86+W88+#REF!</f>
        <v>#REF!</v>
      </c>
      <c r="X84" s="90" t="e">
        <f>X86+X88+#REF!</f>
        <v>#REF!</v>
      </c>
      <c r="Y84" s="90" t="e">
        <f>Y86+Y88+#REF!</f>
        <v>#VALUE!</v>
      </c>
      <c r="Z84" s="90">
        <f t="shared" si="45"/>
        <v>78847</v>
      </c>
      <c r="AA84" s="80">
        <f>SUM(AA86:AA88)</f>
        <v>138847</v>
      </c>
      <c r="AB84" s="80">
        <f t="shared" ref="AB84:AC84" si="54">SUM(AB86:AB88)</f>
        <v>74160.800000000003</v>
      </c>
      <c r="AC84" s="80">
        <f t="shared" si="54"/>
        <v>213007.8</v>
      </c>
      <c r="AD84" s="81"/>
      <c r="AE84" s="81"/>
      <c r="AF84" s="81"/>
    </row>
    <row r="85" spans="1:32" s="82" customFormat="1" hidden="1" x14ac:dyDescent="0.2">
      <c r="A85" s="92" t="s">
        <v>290</v>
      </c>
      <c r="B85" s="95"/>
      <c r="C85" s="89"/>
      <c r="D85" s="89"/>
      <c r="E85" s="89" t="s">
        <v>196</v>
      </c>
      <c r="F85" s="89"/>
      <c r="G85" s="89" t="s">
        <v>291</v>
      </c>
      <c r="H85" s="84">
        <v>0</v>
      </c>
      <c r="I85" s="84">
        <f>SUM(J85:M85)</f>
        <v>0</v>
      </c>
      <c r="J85" s="84"/>
      <c r="K85" s="84"/>
      <c r="L85" s="84"/>
      <c r="M85" s="84"/>
      <c r="N85" s="84">
        <f>H85+I85</f>
        <v>0</v>
      </c>
      <c r="O85" s="84">
        <v>0</v>
      </c>
      <c r="P85" s="90">
        <v>0</v>
      </c>
      <c r="Q85" s="84"/>
      <c r="R85" s="84"/>
      <c r="S85" s="84"/>
      <c r="T85" s="84"/>
      <c r="U85" s="84"/>
      <c r="V85" s="84"/>
      <c r="W85" s="84"/>
      <c r="X85" s="84"/>
      <c r="Y85" s="84"/>
      <c r="Z85" s="84">
        <f t="shared" si="45"/>
        <v>0</v>
      </c>
      <c r="AA85" s="90">
        <v>0</v>
      </c>
      <c r="AB85" s="90">
        <f t="shared" si="52"/>
        <v>0</v>
      </c>
      <c r="AC85" s="90">
        <v>0</v>
      </c>
      <c r="AD85" s="81"/>
      <c r="AE85" s="81"/>
      <c r="AF85" s="81"/>
    </row>
    <row r="86" spans="1:32" s="109" customFormat="1" ht="23.25" customHeight="1" x14ac:dyDescent="0.2">
      <c r="A86" s="122" t="s">
        <v>292</v>
      </c>
      <c r="B86" s="103">
        <v>804</v>
      </c>
      <c r="C86" s="104" t="s">
        <v>215</v>
      </c>
      <c r="D86" s="104" t="s">
        <v>195</v>
      </c>
      <c r="E86" s="104" t="s">
        <v>207</v>
      </c>
      <c r="F86" s="104" t="s">
        <v>208</v>
      </c>
      <c r="G86" s="104"/>
      <c r="H86" s="105">
        <v>60000</v>
      </c>
      <c r="I86" s="105">
        <f>SUM(J86:M86)</f>
        <v>26531.55</v>
      </c>
      <c r="J86" s="105">
        <v>0</v>
      </c>
      <c r="K86" s="105">
        <v>0</v>
      </c>
      <c r="L86" s="105">
        <v>0</v>
      </c>
      <c r="M86" s="105">
        <v>26531.55</v>
      </c>
      <c r="N86" s="105">
        <f>H86+I86</f>
        <v>86531.55</v>
      </c>
      <c r="O86" s="105">
        <f>60000*80%</f>
        <v>48000</v>
      </c>
      <c r="P86" s="106">
        <f>20000+30000-20000</f>
        <v>30000</v>
      </c>
      <c r="Q86" s="105">
        <f t="shared" ref="Q86:Q102" si="55">R86+S86+T86+U86+V86</f>
        <v>0</v>
      </c>
      <c r="R86" s="105">
        <v>0</v>
      </c>
      <c r="S86" s="105">
        <v>0</v>
      </c>
      <c r="T86" s="105"/>
      <c r="U86" s="105">
        <v>0</v>
      </c>
      <c r="V86" s="105"/>
      <c r="W86" s="105"/>
      <c r="X86" s="105">
        <f t="shared" ref="X86:X102" si="56">P86+Q86</f>
        <v>30000</v>
      </c>
      <c r="Y86" s="105" t="s">
        <v>227</v>
      </c>
      <c r="Z86" s="105">
        <f t="shared" si="45"/>
        <v>71847</v>
      </c>
      <c r="AA86" s="106">
        <v>101847</v>
      </c>
      <c r="AB86" s="90">
        <f t="shared" si="52"/>
        <v>0</v>
      </c>
      <c r="AC86" s="106">
        <v>101847</v>
      </c>
      <c r="AD86" s="108"/>
      <c r="AE86" s="108"/>
      <c r="AF86" s="108"/>
    </row>
    <row r="87" spans="1:32" s="109" customFormat="1" ht="23.25" customHeight="1" x14ac:dyDescent="0.2">
      <c r="A87" s="122" t="s">
        <v>292</v>
      </c>
      <c r="B87" s="103">
        <v>804</v>
      </c>
      <c r="C87" s="104" t="s">
        <v>215</v>
      </c>
      <c r="D87" s="104" t="s">
        <v>195</v>
      </c>
      <c r="E87" s="104" t="s">
        <v>196</v>
      </c>
      <c r="F87" s="104" t="s">
        <v>208</v>
      </c>
      <c r="G87" s="104"/>
      <c r="H87" s="105">
        <v>50000</v>
      </c>
      <c r="I87" s="105">
        <f>SUM(J87:M87)</f>
        <v>0</v>
      </c>
      <c r="J87" s="105">
        <v>0</v>
      </c>
      <c r="K87" s="105">
        <v>0</v>
      </c>
      <c r="L87" s="105">
        <v>0</v>
      </c>
      <c r="M87" s="105">
        <v>0</v>
      </c>
      <c r="N87" s="105">
        <f>H87+I87</f>
        <v>50000</v>
      </c>
      <c r="O87" s="105">
        <f>50000*80%</f>
        <v>40000</v>
      </c>
      <c r="P87" s="106">
        <f>60000-10000-20000</f>
        <v>30000</v>
      </c>
      <c r="Q87" s="105">
        <f t="shared" ref="Q87" si="57">R87+S87+T87+U87+V87</f>
        <v>0</v>
      </c>
      <c r="R87" s="105">
        <v>0</v>
      </c>
      <c r="S87" s="105">
        <v>0</v>
      </c>
      <c r="T87" s="105"/>
      <c r="U87" s="105">
        <v>0</v>
      </c>
      <c r="V87" s="105"/>
      <c r="W87" s="105"/>
      <c r="X87" s="105">
        <f t="shared" ref="X87" si="58">P87+Q87</f>
        <v>30000</v>
      </c>
      <c r="Y87" s="105" t="s">
        <v>227</v>
      </c>
      <c r="Z87" s="105">
        <f t="shared" ref="Z87" si="59">AA87-P87</f>
        <v>-30000</v>
      </c>
      <c r="AA87" s="106"/>
      <c r="AB87" s="90">
        <f t="shared" si="52"/>
        <v>74160.800000000003</v>
      </c>
      <c r="AC87" s="106">
        <v>74160.800000000003</v>
      </c>
      <c r="AD87" s="108"/>
      <c r="AE87" s="108"/>
      <c r="AF87" s="108"/>
    </row>
    <row r="88" spans="1:32" s="109" customFormat="1" ht="23.25" customHeight="1" x14ac:dyDescent="0.2">
      <c r="A88" s="122" t="s">
        <v>292</v>
      </c>
      <c r="B88" s="103">
        <v>804</v>
      </c>
      <c r="C88" s="104" t="s">
        <v>215</v>
      </c>
      <c r="D88" s="104" t="s">
        <v>195</v>
      </c>
      <c r="E88" s="104" t="s">
        <v>196</v>
      </c>
      <c r="F88" s="104" t="s">
        <v>208</v>
      </c>
      <c r="G88" s="104"/>
      <c r="H88" s="105">
        <v>50000</v>
      </c>
      <c r="I88" s="105">
        <f>SUM(J88:M88)</f>
        <v>0</v>
      </c>
      <c r="J88" s="105">
        <v>0</v>
      </c>
      <c r="K88" s="105">
        <v>0</v>
      </c>
      <c r="L88" s="105">
        <v>0</v>
      </c>
      <c r="M88" s="105">
        <v>0</v>
      </c>
      <c r="N88" s="105">
        <f>H88+I88</f>
        <v>50000</v>
      </c>
      <c r="O88" s="105">
        <f>50000*80%</f>
        <v>40000</v>
      </c>
      <c r="P88" s="106">
        <f>60000-10000-20000</f>
        <v>30000</v>
      </c>
      <c r="Q88" s="105">
        <f t="shared" si="55"/>
        <v>0</v>
      </c>
      <c r="R88" s="105">
        <v>0</v>
      </c>
      <c r="S88" s="105">
        <v>0</v>
      </c>
      <c r="T88" s="105"/>
      <c r="U88" s="105">
        <v>0</v>
      </c>
      <c r="V88" s="105"/>
      <c r="W88" s="105"/>
      <c r="X88" s="105">
        <f t="shared" si="56"/>
        <v>30000</v>
      </c>
      <c r="Y88" s="105" t="s">
        <v>227</v>
      </c>
      <c r="Z88" s="105">
        <f t="shared" si="45"/>
        <v>7000</v>
      </c>
      <c r="AA88" s="106">
        <v>37000</v>
      </c>
      <c r="AB88" s="90">
        <f t="shared" si="52"/>
        <v>0</v>
      </c>
      <c r="AC88" s="106">
        <v>37000</v>
      </c>
      <c r="AD88" s="108"/>
      <c r="AE88" s="108"/>
      <c r="AF88" s="108"/>
    </row>
    <row r="89" spans="1:32" s="82" customFormat="1" hidden="1" x14ac:dyDescent="0.2">
      <c r="A89" s="123" t="s">
        <v>293</v>
      </c>
      <c r="B89" s="124">
        <v>804</v>
      </c>
      <c r="C89" s="94" t="s">
        <v>294</v>
      </c>
      <c r="D89" s="94" t="s">
        <v>295</v>
      </c>
      <c r="E89" s="94" t="s">
        <v>168</v>
      </c>
      <c r="F89" s="94" t="s">
        <v>168</v>
      </c>
      <c r="G89" s="125"/>
      <c r="H89" s="96">
        <f t="shared" ref="H89:O89" si="60">H91+H92+H94+H96</f>
        <v>0</v>
      </c>
      <c r="I89" s="96">
        <f t="shared" si="60"/>
        <v>-8321.84</v>
      </c>
      <c r="J89" s="96">
        <f t="shared" si="60"/>
        <v>-8321.84</v>
      </c>
      <c r="K89" s="96">
        <f t="shared" si="60"/>
        <v>0</v>
      </c>
      <c r="L89" s="96">
        <f t="shared" si="60"/>
        <v>0</v>
      </c>
      <c r="M89" s="96">
        <f t="shared" si="60"/>
        <v>0</v>
      </c>
      <c r="N89" s="96">
        <f t="shared" si="60"/>
        <v>-8321.84</v>
      </c>
      <c r="O89" s="96">
        <f t="shared" si="60"/>
        <v>0</v>
      </c>
      <c r="P89" s="97">
        <f>P90+P91+P92+P94+P96</f>
        <v>0</v>
      </c>
      <c r="Q89" s="84" t="e">
        <f t="shared" si="55"/>
        <v>#REF!</v>
      </c>
      <c r="R89" s="97" t="e">
        <f>R90+R91+R92+R94+R96+#REF!+#REF!</f>
        <v>#REF!</v>
      </c>
      <c r="S89" s="97" t="e">
        <f>S90+S91+S92+S94+S96+#REF!+#REF!</f>
        <v>#REF!</v>
      </c>
      <c r="T89" s="97" t="e">
        <f>T90+T91+T92+T94+T96+#REF!+#REF!</f>
        <v>#REF!</v>
      </c>
      <c r="U89" s="97" t="e">
        <f>U90+U91+U92+U94+U96+#REF!+#REF!</f>
        <v>#REF!</v>
      </c>
      <c r="V89" s="97" t="e">
        <f>V90+V91+V92+V94+V96+#REF!+#REF!</f>
        <v>#REF!</v>
      </c>
      <c r="W89" s="97"/>
      <c r="X89" s="79" t="e">
        <f t="shared" si="56"/>
        <v>#REF!</v>
      </c>
      <c r="Y89" s="84" t="s">
        <v>296</v>
      </c>
      <c r="Z89" s="84">
        <f t="shared" si="45"/>
        <v>0</v>
      </c>
      <c r="AA89" s="97">
        <f>AA90+AA91+AA92+AA94+AA96</f>
        <v>0</v>
      </c>
      <c r="AB89" s="97"/>
      <c r="AC89" s="97">
        <f>AC90+AC91+AC92+AC94+AC96</f>
        <v>0</v>
      </c>
      <c r="AD89" s="81"/>
      <c r="AE89" s="81"/>
      <c r="AF89" s="81"/>
    </row>
    <row r="90" spans="1:32" s="82" customFormat="1" hidden="1" x14ac:dyDescent="0.2">
      <c r="A90" s="87" t="s">
        <v>255</v>
      </c>
      <c r="B90" s="126" t="s">
        <v>289</v>
      </c>
      <c r="C90" s="89" t="s">
        <v>294</v>
      </c>
      <c r="D90" s="89" t="s">
        <v>295</v>
      </c>
      <c r="E90" s="89" t="s">
        <v>297</v>
      </c>
      <c r="F90" s="89" t="s">
        <v>285</v>
      </c>
      <c r="G90" s="89"/>
      <c r="H90" s="127"/>
      <c r="I90" s="127"/>
      <c r="J90" s="127"/>
      <c r="K90" s="127"/>
      <c r="L90" s="127"/>
      <c r="M90" s="127"/>
      <c r="N90" s="127"/>
      <c r="O90" s="127"/>
      <c r="P90" s="90">
        <v>0</v>
      </c>
      <c r="Q90" s="84">
        <f t="shared" si="55"/>
        <v>0</v>
      </c>
      <c r="R90" s="90">
        <v>0</v>
      </c>
      <c r="S90" s="90"/>
      <c r="T90" s="90"/>
      <c r="U90" s="90">
        <v>0</v>
      </c>
      <c r="V90" s="90"/>
      <c r="W90" s="90"/>
      <c r="X90" s="84">
        <f t="shared" si="56"/>
        <v>0</v>
      </c>
      <c r="Y90" s="84" t="s">
        <v>298</v>
      </c>
      <c r="Z90" s="84">
        <f t="shared" si="45"/>
        <v>0</v>
      </c>
      <c r="AA90" s="90">
        <v>0</v>
      </c>
      <c r="AB90" s="90"/>
      <c r="AC90" s="90">
        <v>0</v>
      </c>
      <c r="AD90" s="81"/>
      <c r="AE90" s="81"/>
      <c r="AF90" s="81"/>
    </row>
    <row r="91" spans="1:32" s="99" customFormat="1" hidden="1" x14ac:dyDescent="0.2">
      <c r="A91" s="76" t="s">
        <v>225</v>
      </c>
      <c r="B91" s="128" t="s">
        <v>289</v>
      </c>
      <c r="C91" s="78" t="s">
        <v>294</v>
      </c>
      <c r="D91" s="78" t="s">
        <v>295</v>
      </c>
      <c r="E91" s="78" t="s">
        <v>207</v>
      </c>
      <c r="F91" s="78" t="s">
        <v>226</v>
      </c>
      <c r="G91" s="78"/>
      <c r="H91" s="129">
        <v>0</v>
      </c>
      <c r="I91" s="129">
        <f>SUM(J91:M91)</f>
        <v>-2400</v>
      </c>
      <c r="J91" s="129">
        <v>-2400</v>
      </c>
      <c r="K91" s="129">
        <v>0</v>
      </c>
      <c r="L91" s="129">
        <v>0</v>
      </c>
      <c r="M91" s="129">
        <v>0</v>
      </c>
      <c r="N91" s="129">
        <f>H91+I91</f>
        <v>-2400</v>
      </c>
      <c r="O91" s="129">
        <v>0</v>
      </c>
      <c r="P91" s="80">
        <v>0</v>
      </c>
      <c r="Q91" s="84">
        <f t="shared" si="55"/>
        <v>0</v>
      </c>
      <c r="R91" s="79">
        <v>0</v>
      </c>
      <c r="S91" s="79"/>
      <c r="T91" s="79"/>
      <c r="U91" s="79"/>
      <c r="V91" s="79"/>
      <c r="W91" s="79"/>
      <c r="X91" s="84">
        <f t="shared" si="56"/>
        <v>0</v>
      </c>
      <c r="Y91" s="84" t="s">
        <v>299</v>
      </c>
      <c r="Z91" s="84">
        <f t="shared" si="45"/>
        <v>0</v>
      </c>
      <c r="AA91" s="80">
        <v>0</v>
      </c>
      <c r="AB91" s="80"/>
      <c r="AC91" s="80">
        <v>0</v>
      </c>
      <c r="AD91" s="98"/>
      <c r="AE91" s="98"/>
      <c r="AF91" s="98"/>
    </row>
    <row r="92" spans="1:32" s="82" customFormat="1" hidden="1" x14ac:dyDescent="0.2">
      <c r="A92" s="76" t="s">
        <v>228</v>
      </c>
      <c r="B92" s="128" t="s">
        <v>289</v>
      </c>
      <c r="C92" s="78" t="s">
        <v>294</v>
      </c>
      <c r="D92" s="78" t="s">
        <v>295</v>
      </c>
      <c r="E92" s="78" t="s">
        <v>196</v>
      </c>
      <c r="F92" s="78" t="s">
        <v>229</v>
      </c>
      <c r="G92" s="78"/>
      <c r="H92" s="129">
        <f t="shared" ref="H92:P92" si="61">H93</f>
        <v>0</v>
      </c>
      <c r="I92" s="129">
        <f t="shared" si="61"/>
        <v>0</v>
      </c>
      <c r="J92" s="129">
        <f t="shared" si="61"/>
        <v>0</v>
      </c>
      <c r="K92" s="129">
        <f t="shared" si="61"/>
        <v>0</v>
      </c>
      <c r="L92" s="129">
        <f t="shared" si="61"/>
        <v>0</v>
      </c>
      <c r="M92" s="129">
        <f t="shared" si="61"/>
        <v>0</v>
      </c>
      <c r="N92" s="129">
        <f t="shared" si="61"/>
        <v>0</v>
      </c>
      <c r="O92" s="129">
        <f t="shared" si="61"/>
        <v>0</v>
      </c>
      <c r="P92" s="80">
        <f t="shared" si="61"/>
        <v>0</v>
      </c>
      <c r="Q92" s="84">
        <f t="shared" si="55"/>
        <v>0</v>
      </c>
      <c r="R92" s="79">
        <f>R93</f>
        <v>0</v>
      </c>
      <c r="S92" s="79">
        <f>S93</f>
        <v>0</v>
      </c>
      <c r="T92" s="79">
        <f>T93</f>
        <v>0</v>
      </c>
      <c r="U92" s="79">
        <f>U93</f>
        <v>0</v>
      </c>
      <c r="V92" s="79"/>
      <c r="W92" s="79"/>
      <c r="X92" s="84">
        <f t="shared" si="56"/>
        <v>0</v>
      </c>
      <c r="Y92" s="84" t="s">
        <v>300</v>
      </c>
      <c r="Z92" s="84">
        <f t="shared" si="45"/>
        <v>0</v>
      </c>
      <c r="AA92" s="80">
        <f>AA93</f>
        <v>0</v>
      </c>
      <c r="AB92" s="80"/>
      <c r="AC92" s="80">
        <f>AC93</f>
        <v>0</v>
      </c>
      <c r="AD92" s="81"/>
      <c r="AE92" s="81"/>
      <c r="AF92" s="81"/>
    </row>
    <row r="93" spans="1:32" s="82" customFormat="1" ht="38.25" hidden="1" x14ac:dyDescent="0.2">
      <c r="A93" s="87" t="s">
        <v>301</v>
      </c>
      <c r="B93" s="95"/>
      <c r="C93" s="89"/>
      <c r="D93" s="89"/>
      <c r="E93" s="89"/>
      <c r="F93" s="89"/>
      <c r="G93" s="89" t="s">
        <v>231</v>
      </c>
      <c r="H93" s="127">
        <v>0</v>
      </c>
      <c r="I93" s="127">
        <f>SUM(J93:M93)</f>
        <v>0</v>
      </c>
      <c r="J93" s="127"/>
      <c r="K93" s="127"/>
      <c r="L93" s="127"/>
      <c r="M93" s="127">
        <v>0</v>
      </c>
      <c r="N93" s="127">
        <f>H93+I93</f>
        <v>0</v>
      </c>
      <c r="O93" s="127">
        <v>0</v>
      </c>
      <c r="P93" s="90">
        <v>0</v>
      </c>
      <c r="Q93" s="84">
        <f t="shared" si="55"/>
        <v>0</v>
      </c>
      <c r="R93" s="84">
        <v>0</v>
      </c>
      <c r="S93" s="84"/>
      <c r="T93" s="84"/>
      <c r="U93" s="84"/>
      <c r="V93" s="84"/>
      <c r="W93" s="84"/>
      <c r="X93" s="84">
        <f t="shared" si="56"/>
        <v>0</v>
      </c>
      <c r="Y93" s="84" t="s">
        <v>302</v>
      </c>
      <c r="Z93" s="84">
        <f t="shared" si="45"/>
        <v>0</v>
      </c>
      <c r="AA93" s="90">
        <v>0</v>
      </c>
      <c r="AB93" s="90"/>
      <c r="AC93" s="90">
        <v>0</v>
      </c>
      <c r="AD93" s="81"/>
      <c r="AE93" s="81"/>
      <c r="AF93" s="81"/>
    </row>
    <row r="94" spans="1:32" s="82" customFormat="1" hidden="1" x14ac:dyDescent="0.2">
      <c r="A94" s="76" t="s">
        <v>255</v>
      </c>
      <c r="B94" s="128" t="s">
        <v>289</v>
      </c>
      <c r="C94" s="78" t="s">
        <v>294</v>
      </c>
      <c r="D94" s="78" t="s">
        <v>295</v>
      </c>
      <c r="E94" s="78" t="s">
        <v>196</v>
      </c>
      <c r="F94" s="78" t="s">
        <v>187</v>
      </c>
      <c r="G94" s="78"/>
      <c r="H94" s="129">
        <f t="shared" ref="H94:P94" si="62">SUM(H95:H95)</f>
        <v>0</v>
      </c>
      <c r="I94" s="129">
        <f t="shared" si="62"/>
        <v>-5921.84</v>
      </c>
      <c r="J94" s="129">
        <f t="shared" si="62"/>
        <v>-5921.84</v>
      </c>
      <c r="K94" s="129">
        <f t="shared" si="62"/>
        <v>0</v>
      </c>
      <c r="L94" s="129">
        <f t="shared" si="62"/>
        <v>0</v>
      </c>
      <c r="M94" s="129">
        <f t="shared" si="62"/>
        <v>0</v>
      </c>
      <c r="N94" s="129">
        <f t="shared" si="62"/>
        <v>-5921.84</v>
      </c>
      <c r="O94" s="129">
        <f t="shared" si="62"/>
        <v>0</v>
      </c>
      <c r="P94" s="80">
        <f t="shared" si="62"/>
        <v>0</v>
      </c>
      <c r="Q94" s="84">
        <f t="shared" si="55"/>
        <v>0</v>
      </c>
      <c r="R94" s="80">
        <f>SUM(R95:R95)</f>
        <v>0</v>
      </c>
      <c r="S94" s="80">
        <f>S95</f>
        <v>0</v>
      </c>
      <c r="T94" s="80">
        <f>SUM(T95:T95)</f>
        <v>0</v>
      </c>
      <c r="U94" s="80">
        <f>SUM(U95:U95)</f>
        <v>0</v>
      </c>
      <c r="V94" s="80"/>
      <c r="W94" s="80"/>
      <c r="X94" s="84">
        <f t="shared" si="56"/>
        <v>0</v>
      </c>
      <c r="Y94" s="84" t="s">
        <v>303</v>
      </c>
      <c r="Z94" s="84">
        <f t="shared" si="45"/>
        <v>0</v>
      </c>
      <c r="AA94" s="80">
        <f>SUM(AA95:AA95)</f>
        <v>0</v>
      </c>
      <c r="AB94" s="80"/>
      <c r="AC94" s="80">
        <f>SUM(AC95:AC95)</f>
        <v>0</v>
      </c>
      <c r="AD94" s="81"/>
      <c r="AE94" s="81"/>
      <c r="AF94" s="81"/>
    </row>
    <row r="95" spans="1:32" s="82" customFormat="1" hidden="1" x14ac:dyDescent="0.2">
      <c r="A95" s="87" t="s">
        <v>255</v>
      </c>
      <c r="B95" s="88"/>
      <c r="C95" s="89"/>
      <c r="D95" s="89"/>
      <c r="E95" s="89"/>
      <c r="F95" s="89"/>
      <c r="G95" s="89" t="s">
        <v>268</v>
      </c>
      <c r="H95" s="127">
        <v>0</v>
      </c>
      <c r="I95" s="127">
        <f>SUM(J95:M95)</f>
        <v>-5921.84</v>
      </c>
      <c r="J95" s="127">
        <v>-5921.84</v>
      </c>
      <c r="K95" s="127">
        <v>0</v>
      </c>
      <c r="L95" s="127">
        <v>0</v>
      </c>
      <c r="M95" s="127">
        <v>0</v>
      </c>
      <c r="N95" s="127">
        <f>H95+I95</f>
        <v>-5921.84</v>
      </c>
      <c r="O95" s="127">
        <v>0</v>
      </c>
      <c r="P95" s="90">
        <v>0</v>
      </c>
      <c r="Q95" s="84">
        <f t="shared" si="55"/>
        <v>0</v>
      </c>
      <c r="R95" s="84">
        <v>0</v>
      </c>
      <c r="S95" s="84">
        <v>0</v>
      </c>
      <c r="T95" s="84"/>
      <c r="U95" s="84">
        <v>0</v>
      </c>
      <c r="V95" s="84"/>
      <c r="W95" s="84"/>
      <c r="X95" s="84">
        <f t="shared" si="56"/>
        <v>0</v>
      </c>
      <c r="Y95" s="84" t="s">
        <v>304</v>
      </c>
      <c r="Z95" s="84">
        <f t="shared" si="45"/>
        <v>0</v>
      </c>
      <c r="AA95" s="90">
        <v>0</v>
      </c>
      <c r="AB95" s="90"/>
      <c r="AC95" s="90">
        <v>0</v>
      </c>
      <c r="AD95" s="81"/>
      <c r="AE95" s="81"/>
      <c r="AF95" s="81"/>
    </row>
    <row r="96" spans="1:32" s="82" customFormat="1" hidden="1" x14ac:dyDescent="0.2">
      <c r="A96" s="87" t="s">
        <v>202</v>
      </c>
      <c r="B96" s="77">
        <v>804</v>
      </c>
      <c r="C96" s="78" t="s">
        <v>294</v>
      </c>
      <c r="D96" s="78" t="s">
        <v>295</v>
      </c>
      <c r="E96" s="78" t="s">
        <v>168</v>
      </c>
      <c r="F96" s="78" t="s">
        <v>203</v>
      </c>
      <c r="G96" s="89"/>
      <c r="H96" s="129">
        <f t="shared" ref="H96:P96" si="63">SUM(H97:H99)</f>
        <v>0</v>
      </c>
      <c r="I96" s="129">
        <f t="shared" si="63"/>
        <v>0</v>
      </c>
      <c r="J96" s="129">
        <f t="shared" si="63"/>
        <v>0</v>
      </c>
      <c r="K96" s="129">
        <f t="shared" si="63"/>
        <v>0</v>
      </c>
      <c r="L96" s="129">
        <f t="shared" si="63"/>
        <v>0</v>
      </c>
      <c r="M96" s="129">
        <f t="shared" si="63"/>
        <v>0</v>
      </c>
      <c r="N96" s="129">
        <f t="shared" si="63"/>
        <v>0</v>
      </c>
      <c r="O96" s="129">
        <f t="shared" si="63"/>
        <v>0</v>
      </c>
      <c r="P96" s="80">
        <f t="shared" si="63"/>
        <v>0</v>
      </c>
      <c r="Q96" s="84">
        <f t="shared" si="55"/>
        <v>0</v>
      </c>
      <c r="R96" s="80">
        <f>SUM(R97:R99)</f>
        <v>0</v>
      </c>
      <c r="S96" s="80">
        <f>SUM(S97:S99)</f>
        <v>0</v>
      </c>
      <c r="T96" s="80">
        <f>SUM(T97:T99)</f>
        <v>0</v>
      </c>
      <c r="U96" s="80">
        <f>SUM(U97:U99)</f>
        <v>0</v>
      </c>
      <c r="V96" s="80"/>
      <c r="W96" s="80"/>
      <c r="X96" s="84">
        <f t="shared" si="56"/>
        <v>0</v>
      </c>
      <c r="Y96" s="84" t="s">
        <v>305</v>
      </c>
      <c r="Z96" s="84">
        <f t="shared" si="45"/>
        <v>0</v>
      </c>
      <c r="AA96" s="80">
        <f>SUM(AA97:AA99)</f>
        <v>0</v>
      </c>
      <c r="AB96" s="80"/>
      <c r="AC96" s="80">
        <f>SUM(AC97:AC99)</f>
        <v>0</v>
      </c>
      <c r="AD96" s="81"/>
      <c r="AE96" s="81"/>
      <c r="AF96" s="81"/>
    </row>
    <row r="97" spans="1:35" s="82" customFormat="1" ht="25.5" hidden="1" x14ac:dyDescent="0.2">
      <c r="A97" s="87" t="s">
        <v>306</v>
      </c>
      <c r="B97" s="95"/>
      <c r="C97" s="89"/>
      <c r="D97" s="89"/>
      <c r="E97" s="89" t="s">
        <v>196</v>
      </c>
      <c r="F97" s="89"/>
      <c r="G97" s="89" t="s">
        <v>205</v>
      </c>
      <c r="H97" s="127">
        <v>0</v>
      </c>
      <c r="I97" s="127">
        <f>SUM(J97:M97)</f>
        <v>0</v>
      </c>
      <c r="J97" s="127"/>
      <c r="K97" s="127"/>
      <c r="L97" s="127"/>
      <c r="M97" s="127">
        <v>0</v>
      </c>
      <c r="N97" s="127">
        <f>H97+I97</f>
        <v>0</v>
      </c>
      <c r="O97" s="127">
        <v>0</v>
      </c>
      <c r="P97" s="90">
        <v>0</v>
      </c>
      <c r="Q97" s="84">
        <f t="shared" si="55"/>
        <v>0</v>
      </c>
      <c r="R97" s="84"/>
      <c r="S97" s="84"/>
      <c r="T97" s="84"/>
      <c r="U97" s="84"/>
      <c r="V97" s="84"/>
      <c r="W97" s="84"/>
      <c r="X97" s="84">
        <f t="shared" si="56"/>
        <v>0</v>
      </c>
      <c r="Y97" s="84" t="s">
        <v>307</v>
      </c>
      <c r="Z97" s="84">
        <f t="shared" si="45"/>
        <v>0</v>
      </c>
      <c r="AA97" s="90">
        <v>0</v>
      </c>
      <c r="AB97" s="90"/>
      <c r="AC97" s="90">
        <v>0</v>
      </c>
      <c r="AD97" s="81"/>
      <c r="AE97" s="81"/>
      <c r="AF97" s="81"/>
    </row>
    <row r="98" spans="1:35" s="82" customFormat="1" hidden="1" x14ac:dyDescent="0.2">
      <c r="A98" s="92" t="s">
        <v>292</v>
      </c>
      <c r="B98" s="95"/>
      <c r="C98" s="89"/>
      <c r="D98" s="89"/>
      <c r="E98" s="89" t="s">
        <v>207</v>
      </c>
      <c r="F98" s="89"/>
      <c r="G98" s="89" t="s">
        <v>308</v>
      </c>
      <c r="H98" s="127">
        <v>0</v>
      </c>
      <c r="I98" s="127">
        <f>SUM(J98:M98)</f>
        <v>0</v>
      </c>
      <c r="J98" s="127">
        <v>0</v>
      </c>
      <c r="K98" s="127">
        <v>0</v>
      </c>
      <c r="L98" s="127">
        <v>0</v>
      </c>
      <c r="M98" s="127">
        <v>0</v>
      </c>
      <c r="N98" s="127">
        <f>H98+I98</f>
        <v>0</v>
      </c>
      <c r="O98" s="127">
        <v>0</v>
      </c>
      <c r="P98" s="90">
        <v>0</v>
      </c>
      <c r="Q98" s="84">
        <f t="shared" si="55"/>
        <v>0</v>
      </c>
      <c r="R98" s="84">
        <v>0</v>
      </c>
      <c r="S98" s="84"/>
      <c r="T98" s="84"/>
      <c r="U98" s="84"/>
      <c r="V98" s="84"/>
      <c r="W98" s="84"/>
      <c r="X98" s="84">
        <f t="shared" si="56"/>
        <v>0</v>
      </c>
      <c r="Y98" s="84" t="s">
        <v>309</v>
      </c>
      <c r="Z98" s="84">
        <f t="shared" si="45"/>
        <v>0</v>
      </c>
      <c r="AA98" s="90">
        <v>0</v>
      </c>
      <c r="AB98" s="90"/>
      <c r="AC98" s="90">
        <v>0</v>
      </c>
      <c r="AD98" s="81"/>
      <c r="AE98" s="81"/>
      <c r="AF98" s="81"/>
    </row>
    <row r="99" spans="1:35" s="82" customFormat="1" hidden="1" x14ac:dyDescent="0.2">
      <c r="A99" s="92" t="s">
        <v>292</v>
      </c>
      <c r="B99" s="95"/>
      <c r="C99" s="89"/>
      <c r="D99" s="89"/>
      <c r="E99" s="89" t="s">
        <v>196</v>
      </c>
      <c r="F99" s="89"/>
      <c r="G99" s="89" t="s">
        <v>308</v>
      </c>
      <c r="H99" s="127">
        <v>0</v>
      </c>
      <c r="I99" s="127">
        <f>SUM(J99:M99)</f>
        <v>0</v>
      </c>
      <c r="J99" s="127">
        <v>0</v>
      </c>
      <c r="K99" s="127">
        <v>0</v>
      </c>
      <c r="L99" s="127">
        <v>0</v>
      </c>
      <c r="M99" s="127">
        <v>0</v>
      </c>
      <c r="N99" s="127">
        <f>H99+I99</f>
        <v>0</v>
      </c>
      <c r="O99" s="127">
        <v>0</v>
      </c>
      <c r="P99" s="90">
        <v>0</v>
      </c>
      <c r="Q99" s="84">
        <f t="shared" si="55"/>
        <v>0</v>
      </c>
      <c r="R99" s="84">
        <v>0</v>
      </c>
      <c r="S99" s="84"/>
      <c r="T99" s="84"/>
      <c r="U99" s="84"/>
      <c r="V99" s="84"/>
      <c r="W99" s="84"/>
      <c r="X99" s="84">
        <f t="shared" si="56"/>
        <v>0</v>
      </c>
      <c r="Y99" s="84" t="s">
        <v>310</v>
      </c>
      <c r="Z99" s="84">
        <f t="shared" si="45"/>
        <v>0</v>
      </c>
      <c r="AA99" s="90">
        <v>0</v>
      </c>
      <c r="AB99" s="90"/>
      <c r="AC99" s="90">
        <v>0</v>
      </c>
      <c r="AD99" s="81"/>
      <c r="AE99" s="81"/>
      <c r="AF99" s="81"/>
    </row>
    <row r="100" spans="1:35" s="82" customFormat="1" x14ac:dyDescent="0.2">
      <c r="A100" s="123" t="s">
        <v>293</v>
      </c>
      <c r="B100" s="130">
        <v>804</v>
      </c>
      <c r="C100" s="78" t="s">
        <v>294</v>
      </c>
      <c r="D100" s="78" t="s">
        <v>311</v>
      </c>
      <c r="E100" s="78" t="s">
        <v>168</v>
      </c>
      <c r="F100" s="78" t="s">
        <v>168</v>
      </c>
      <c r="G100" s="78"/>
      <c r="H100" s="79" t="e">
        <f>H104+H160+H163+H165+H169</f>
        <v>#REF!</v>
      </c>
      <c r="I100" s="79"/>
      <c r="J100" s="79"/>
      <c r="K100" s="79"/>
      <c r="L100" s="79"/>
      <c r="M100" s="79"/>
      <c r="N100" s="79"/>
      <c r="O100" s="79" t="e">
        <f>O104+O160+O163+O165+O169</f>
        <v>#REF!</v>
      </c>
      <c r="P100" s="80">
        <f>P101</f>
        <v>860000</v>
      </c>
      <c r="Q100" s="84">
        <f t="shared" si="55"/>
        <v>0</v>
      </c>
      <c r="R100" s="84"/>
      <c r="S100" s="84"/>
      <c r="T100" s="84"/>
      <c r="U100" s="84"/>
      <c r="V100" s="84"/>
      <c r="W100" s="84"/>
      <c r="X100" s="84">
        <f t="shared" si="56"/>
        <v>860000</v>
      </c>
      <c r="Y100" s="84" t="s">
        <v>312</v>
      </c>
      <c r="Z100" s="80">
        <f t="shared" si="45"/>
        <v>0</v>
      </c>
      <c r="AA100" s="80">
        <f>AA101</f>
        <v>860000</v>
      </c>
      <c r="AB100" s="80">
        <f t="shared" ref="AB100" si="64">AB101</f>
        <v>0</v>
      </c>
      <c r="AC100" s="80">
        <f>AC101</f>
        <v>860000</v>
      </c>
      <c r="AD100" s="81"/>
      <c r="AE100" s="81"/>
      <c r="AF100" s="81"/>
    </row>
    <row r="101" spans="1:35" s="82" customFormat="1" x14ac:dyDescent="0.2">
      <c r="A101" s="87" t="s">
        <v>313</v>
      </c>
      <c r="B101" s="88">
        <v>804</v>
      </c>
      <c r="C101" s="89" t="s">
        <v>294</v>
      </c>
      <c r="D101" s="89" t="s">
        <v>314</v>
      </c>
      <c r="E101" s="131">
        <v>880</v>
      </c>
      <c r="F101" s="89" t="s">
        <v>285</v>
      </c>
      <c r="G101" s="89"/>
      <c r="H101" s="84">
        <f>1088528.83+179607.17</f>
        <v>1268136</v>
      </c>
      <c r="I101" s="84">
        <f>SUM(J101:M101)</f>
        <v>0</v>
      </c>
      <c r="J101" s="84"/>
      <c r="K101" s="84"/>
      <c r="L101" s="84"/>
      <c r="M101" s="84"/>
      <c r="N101" s="84">
        <f>H101+I101</f>
        <v>1268136</v>
      </c>
      <c r="O101" s="84">
        <f>1088528.83+179607.17</f>
        <v>1268136</v>
      </c>
      <c r="P101" s="90">
        <v>860000</v>
      </c>
      <c r="Q101" s="84">
        <f t="shared" si="55"/>
        <v>0</v>
      </c>
      <c r="R101" s="84"/>
      <c r="S101" s="84"/>
      <c r="T101" s="84"/>
      <c r="U101" s="84"/>
      <c r="V101" s="84"/>
      <c r="W101" s="84"/>
      <c r="X101" s="84">
        <f t="shared" si="56"/>
        <v>860000</v>
      </c>
      <c r="Y101" s="84" t="s">
        <v>315</v>
      </c>
      <c r="Z101" s="84">
        <f t="shared" si="45"/>
        <v>0</v>
      </c>
      <c r="AA101" s="90">
        <v>860000</v>
      </c>
      <c r="AB101" s="90">
        <f t="shared" ref="AB101:AB103" si="65">AC101-AA101</f>
        <v>0</v>
      </c>
      <c r="AC101" s="90">
        <v>860000</v>
      </c>
      <c r="AD101" s="81"/>
      <c r="AE101" s="81"/>
      <c r="AF101" s="81"/>
    </row>
    <row r="102" spans="1:35" s="135" customFormat="1" ht="25.5" x14ac:dyDescent="0.2">
      <c r="A102" s="114" t="s">
        <v>316</v>
      </c>
      <c r="B102" s="132">
        <v>804</v>
      </c>
      <c r="C102" s="94" t="s">
        <v>317</v>
      </c>
      <c r="D102" s="94" t="s">
        <v>167</v>
      </c>
      <c r="E102" s="94" t="s">
        <v>168</v>
      </c>
      <c r="F102" s="94" t="s">
        <v>168</v>
      </c>
      <c r="G102" s="94"/>
      <c r="H102" s="96" t="e">
        <f>H114+#REF!+H189+#REF!+#REF!</f>
        <v>#REF!</v>
      </c>
      <c r="I102" s="96"/>
      <c r="J102" s="96"/>
      <c r="K102" s="96"/>
      <c r="L102" s="96"/>
      <c r="M102" s="96"/>
      <c r="N102" s="96"/>
      <c r="O102" s="96" t="e">
        <f>O114+#REF!+O189+#REF!+#REF!</f>
        <v>#REF!</v>
      </c>
      <c r="P102" s="97">
        <f>P103</f>
        <v>100000</v>
      </c>
      <c r="Q102" s="133">
        <f t="shared" si="55"/>
        <v>0</v>
      </c>
      <c r="R102" s="133"/>
      <c r="S102" s="133"/>
      <c r="T102" s="133"/>
      <c r="U102" s="133"/>
      <c r="V102" s="133"/>
      <c r="W102" s="133"/>
      <c r="X102" s="133">
        <f t="shared" si="56"/>
        <v>100000</v>
      </c>
      <c r="Y102" s="133" t="s">
        <v>312</v>
      </c>
      <c r="Z102" s="97">
        <f t="shared" si="45"/>
        <v>0</v>
      </c>
      <c r="AA102" s="97">
        <f>AA103</f>
        <v>100000</v>
      </c>
      <c r="AB102" s="97">
        <f t="shared" ref="AB102:AC102" si="66">AB103</f>
        <v>0</v>
      </c>
      <c r="AC102" s="97">
        <f t="shared" si="66"/>
        <v>100000</v>
      </c>
      <c r="AD102" s="134"/>
      <c r="AE102" s="134"/>
      <c r="AF102" s="134"/>
    </row>
    <row r="103" spans="1:35" s="82" customFormat="1" x14ac:dyDescent="0.2">
      <c r="A103" s="91" t="s">
        <v>318</v>
      </c>
      <c r="B103" s="88">
        <v>804</v>
      </c>
      <c r="C103" s="89" t="s">
        <v>317</v>
      </c>
      <c r="D103" s="89" t="s">
        <v>319</v>
      </c>
      <c r="E103" s="89" t="s">
        <v>320</v>
      </c>
      <c r="F103" s="89" t="s">
        <v>321</v>
      </c>
      <c r="G103" s="89"/>
      <c r="H103" s="84"/>
      <c r="I103" s="84"/>
      <c r="J103" s="84"/>
      <c r="K103" s="84"/>
      <c r="L103" s="84"/>
      <c r="M103" s="84"/>
      <c r="N103" s="84"/>
      <c r="O103" s="84"/>
      <c r="P103" s="90">
        <v>100000</v>
      </c>
      <c r="Q103" s="84"/>
      <c r="R103" s="84"/>
      <c r="S103" s="84"/>
      <c r="T103" s="84"/>
      <c r="U103" s="84"/>
      <c r="V103" s="84"/>
      <c r="W103" s="84"/>
      <c r="X103" s="84"/>
      <c r="Y103" s="84"/>
      <c r="Z103" s="84">
        <f t="shared" si="45"/>
        <v>0</v>
      </c>
      <c r="AA103" s="90">
        <f>100000</f>
        <v>100000</v>
      </c>
      <c r="AB103" s="90">
        <f t="shared" si="65"/>
        <v>0</v>
      </c>
      <c r="AC103" s="90">
        <f>100000</f>
        <v>100000</v>
      </c>
      <c r="AD103" s="81"/>
      <c r="AE103" s="81"/>
      <c r="AF103" s="81"/>
    </row>
    <row r="104" spans="1:35" s="99" customFormat="1" x14ac:dyDescent="0.2">
      <c r="A104" s="114" t="s">
        <v>322</v>
      </c>
      <c r="B104" s="130">
        <v>804</v>
      </c>
      <c r="C104" s="78" t="s">
        <v>323</v>
      </c>
      <c r="D104" s="78" t="s">
        <v>167</v>
      </c>
      <c r="E104" s="78" t="s">
        <v>168</v>
      </c>
      <c r="F104" s="78" t="s">
        <v>168</v>
      </c>
      <c r="G104" s="78"/>
      <c r="H104" s="79" t="e">
        <f>#REF!+H161+H164+H167+H173</f>
        <v>#REF!</v>
      </c>
      <c r="I104" s="79"/>
      <c r="J104" s="79"/>
      <c r="K104" s="79"/>
      <c r="L104" s="79"/>
      <c r="M104" s="79"/>
      <c r="N104" s="79"/>
      <c r="O104" s="79" t="e">
        <f>#REF!+O161+O164+O167+O173</f>
        <v>#REF!</v>
      </c>
      <c r="P104" s="80" t="e">
        <f>#REF!+P161+P164+P167+P173</f>
        <v>#REF!</v>
      </c>
      <c r="Q104" s="80" t="e">
        <f>#REF!+Q161+Q164+Q167+Q173+#REF!+#REF!</f>
        <v>#REF!</v>
      </c>
      <c r="R104" s="80" t="e">
        <f>#REF!+R161+R164+R167+R173+#REF!+#REF!</f>
        <v>#REF!</v>
      </c>
      <c r="S104" s="80" t="e">
        <f>#REF!+S161+S164+S167+S173+#REF!+#REF!</f>
        <v>#REF!</v>
      </c>
      <c r="T104" s="80" t="e">
        <f>#REF!+T161+T164+T167+T173+#REF!+#REF!</f>
        <v>#REF!</v>
      </c>
      <c r="U104" s="80" t="e">
        <f>#REF!+U161+U164+U167+U173+#REF!+#REF!</f>
        <v>#REF!</v>
      </c>
      <c r="V104" s="80" t="e">
        <f>#REF!+V161+V164+V167+V173+#REF!+#REF!</f>
        <v>#REF!</v>
      </c>
      <c r="W104" s="80" t="e">
        <f>#REF!+W161+W164+W167+W173+#REF!+#REF!</f>
        <v>#REF!</v>
      </c>
      <c r="X104" s="80" t="e">
        <f>#REF!+X161+X164+X167+X173+#REF!+#REF!</f>
        <v>#REF!</v>
      </c>
      <c r="Y104" s="80" t="e">
        <f>#REF!+Y161+Y164+Y167+Y173+#REF!+#REF!</f>
        <v>#REF!</v>
      </c>
      <c r="Z104" s="80" t="e">
        <f t="shared" si="45"/>
        <v>#REF!</v>
      </c>
      <c r="AA104" s="80">
        <f>AA105+AA134+AA153+AA161+AA167+AA173</f>
        <v>31808428.91</v>
      </c>
      <c r="AB104" s="80">
        <f>AB105+AB134+AB153+AB161+AB167+AB173</f>
        <v>3997906.1599999992</v>
      </c>
      <c r="AC104" s="80">
        <f>AC105+AC134+AC153+AC161+AC167+AC173</f>
        <v>35467189.769999996</v>
      </c>
      <c r="AD104" s="98"/>
      <c r="AE104" s="98"/>
      <c r="AF104" s="98"/>
    </row>
    <row r="105" spans="1:35" s="82" customFormat="1" x14ac:dyDescent="0.2">
      <c r="A105" s="140" t="s">
        <v>325</v>
      </c>
      <c r="B105" s="137">
        <v>804</v>
      </c>
      <c r="C105" s="138" t="s">
        <v>323</v>
      </c>
      <c r="D105" s="78" t="s">
        <v>324</v>
      </c>
      <c r="E105" s="78" t="s">
        <v>233</v>
      </c>
      <c r="F105" s="78" t="s">
        <v>234</v>
      </c>
      <c r="G105" s="78"/>
      <c r="H105" s="79"/>
      <c r="I105" s="79"/>
      <c r="J105" s="79"/>
      <c r="K105" s="79"/>
      <c r="L105" s="79"/>
      <c r="M105" s="79"/>
      <c r="N105" s="79"/>
      <c r="O105" s="79"/>
      <c r="P105" s="80">
        <f t="shared" ref="P105:Y105" si="67">SUM(P106:P113)</f>
        <v>3456493.31</v>
      </c>
      <c r="Q105" s="80">
        <f t="shared" si="67"/>
        <v>0</v>
      </c>
      <c r="R105" s="80">
        <f t="shared" si="67"/>
        <v>0</v>
      </c>
      <c r="S105" s="80">
        <f t="shared" si="67"/>
        <v>0</v>
      </c>
      <c r="T105" s="80">
        <f t="shared" si="67"/>
        <v>0</v>
      </c>
      <c r="U105" s="80">
        <f t="shared" si="67"/>
        <v>0</v>
      </c>
      <c r="V105" s="80">
        <f t="shared" si="67"/>
        <v>0</v>
      </c>
      <c r="W105" s="80">
        <f t="shared" si="67"/>
        <v>0</v>
      </c>
      <c r="X105" s="80">
        <f t="shared" si="67"/>
        <v>0</v>
      </c>
      <c r="Y105" s="80">
        <f t="shared" si="67"/>
        <v>0</v>
      </c>
      <c r="Z105" s="80">
        <f t="shared" si="45"/>
        <v>18122595.68</v>
      </c>
      <c r="AA105" s="80">
        <f>SUM(AA106:AA113)</f>
        <v>21579088.989999998</v>
      </c>
      <c r="AB105" s="80">
        <f t="shared" ref="AB105:AC105" si="68">SUM(AB106:AB113)</f>
        <v>3682652.6199999992</v>
      </c>
      <c r="AC105" s="80">
        <f t="shared" si="68"/>
        <v>25261741.609999996</v>
      </c>
      <c r="AD105" s="81"/>
      <c r="AE105" s="81"/>
      <c r="AF105" s="81"/>
      <c r="AG105" s="81"/>
      <c r="AH105" s="81"/>
      <c r="AI105" s="81"/>
    </row>
    <row r="106" spans="1:35" s="82" customFormat="1" x14ac:dyDescent="0.2">
      <c r="A106" s="92" t="s">
        <v>235</v>
      </c>
      <c r="B106" s="95">
        <v>804</v>
      </c>
      <c r="C106" s="89" t="s">
        <v>323</v>
      </c>
      <c r="D106" s="89" t="s">
        <v>324</v>
      </c>
      <c r="E106" s="89" t="s">
        <v>236</v>
      </c>
      <c r="F106" s="89" t="s">
        <v>234</v>
      </c>
      <c r="G106" s="89" t="s">
        <v>237</v>
      </c>
      <c r="H106" s="84"/>
      <c r="I106" s="84"/>
      <c r="J106" s="84"/>
      <c r="K106" s="84"/>
      <c r="L106" s="84"/>
      <c r="M106" s="84"/>
      <c r="N106" s="84"/>
      <c r="O106" s="84"/>
      <c r="P106" s="90">
        <v>2995281.06</v>
      </c>
      <c r="Q106" s="90"/>
      <c r="R106" s="84"/>
      <c r="S106" s="84"/>
      <c r="T106" s="84"/>
      <c r="U106" s="84"/>
      <c r="V106" s="84"/>
      <c r="W106" s="84"/>
      <c r="X106" s="84"/>
      <c r="Y106" s="84"/>
      <c r="Z106" s="84">
        <f t="shared" si="45"/>
        <v>12903707.34</v>
      </c>
      <c r="AA106" s="90">
        <f>20294712.36-4395723.95-0.01</f>
        <v>15898988.4</v>
      </c>
      <c r="AB106" s="90">
        <f t="shared" ref="AB106:AB152" si="69">AC106-AA106</f>
        <v>800328.20999999903</v>
      </c>
      <c r="AC106" s="90">
        <f>21095040.56-4395723.95</f>
        <v>16699316.609999999</v>
      </c>
      <c r="AD106" s="85"/>
      <c r="AE106" s="85"/>
      <c r="AF106" s="81"/>
      <c r="AG106" s="85"/>
      <c r="AH106" s="100"/>
      <c r="AI106" s="81"/>
    </row>
    <row r="107" spans="1:35" s="82" customFormat="1" x14ac:dyDescent="0.2">
      <c r="A107" s="92" t="s">
        <v>326</v>
      </c>
      <c r="B107" s="95">
        <v>804</v>
      </c>
      <c r="C107" s="89" t="s">
        <v>323</v>
      </c>
      <c r="D107" s="89" t="s">
        <v>324</v>
      </c>
      <c r="E107" s="89" t="s">
        <v>236</v>
      </c>
      <c r="F107" s="89" t="s">
        <v>234</v>
      </c>
      <c r="G107" s="89" t="s">
        <v>237</v>
      </c>
      <c r="H107" s="84"/>
      <c r="I107" s="84"/>
      <c r="J107" s="84"/>
      <c r="K107" s="84"/>
      <c r="L107" s="84"/>
      <c r="M107" s="84"/>
      <c r="N107" s="84"/>
      <c r="O107" s="84"/>
      <c r="P107" s="90"/>
      <c r="Q107" s="90"/>
      <c r="R107" s="84"/>
      <c r="S107" s="84"/>
      <c r="T107" s="84"/>
      <c r="U107" s="84"/>
      <c r="V107" s="84"/>
      <c r="W107" s="84"/>
      <c r="X107" s="84"/>
      <c r="Y107" s="84"/>
      <c r="Z107" s="84">
        <f t="shared" si="45"/>
        <v>4395723.95</v>
      </c>
      <c r="AA107" s="90">
        <v>4395723.95</v>
      </c>
      <c r="AB107" s="90">
        <f t="shared" si="69"/>
        <v>2900487.45</v>
      </c>
      <c r="AC107" s="90">
        <f>4081931.8+3214279.6</f>
        <v>7296211.4000000004</v>
      </c>
      <c r="AD107" s="85"/>
      <c r="AE107" s="85"/>
      <c r="AF107" s="81"/>
      <c r="AG107" s="85"/>
      <c r="AH107" s="100"/>
      <c r="AI107" s="81"/>
    </row>
    <row r="108" spans="1:35" s="82" customFormat="1" x14ac:dyDescent="0.2">
      <c r="A108" s="92" t="s">
        <v>238</v>
      </c>
      <c r="B108" s="95">
        <v>804</v>
      </c>
      <c r="C108" s="89" t="s">
        <v>323</v>
      </c>
      <c r="D108" s="89" t="s">
        <v>324</v>
      </c>
      <c r="E108" s="89" t="s">
        <v>236</v>
      </c>
      <c r="F108" s="89" t="s">
        <v>234</v>
      </c>
      <c r="G108" s="89" t="s">
        <v>327</v>
      </c>
      <c r="H108" s="84"/>
      <c r="I108" s="84"/>
      <c r="J108" s="84"/>
      <c r="K108" s="84"/>
      <c r="L108" s="84"/>
      <c r="M108" s="84"/>
      <c r="N108" s="84"/>
      <c r="O108" s="84"/>
      <c r="P108" s="90">
        <v>342236.79</v>
      </c>
      <c r="Q108" s="90"/>
      <c r="R108" s="84"/>
      <c r="S108" s="84"/>
      <c r="T108" s="84"/>
      <c r="U108" s="84"/>
      <c r="V108" s="84"/>
      <c r="W108" s="84"/>
      <c r="X108" s="84"/>
      <c r="Y108" s="84"/>
      <c r="Z108" s="84">
        <f t="shared" si="45"/>
        <v>516543.95</v>
      </c>
      <c r="AA108" s="90">
        <f>936695.96-77915.22</f>
        <v>858780.74</v>
      </c>
      <c r="AB108" s="90">
        <f t="shared" si="69"/>
        <v>0</v>
      </c>
      <c r="AC108" s="90">
        <f>936695.96-77915.22</f>
        <v>858780.74</v>
      </c>
      <c r="AD108" s="85"/>
      <c r="AE108" s="85"/>
      <c r="AF108" s="81"/>
      <c r="AG108" s="85"/>
      <c r="AH108" s="100"/>
      <c r="AI108" s="81"/>
    </row>
    <row r="109" spans="1:35" s="82" customFormat="1" ht="25.5" x14ac:dyDescent="0.2">
      <c r="A109" s="92" t="s">
        <v>328</v>
      </c>
      <c r="B109" s="95">
        <v>804</v>
      </c>
      <c r="C109" s="89" t="s">
        <v>323</v>
      </c>
      <c r="D109" s="89" t="s">
        <v>324</v>
      </c>
      <c r="E109" s="89" t="s">
        <v>236</v>
      </c>
      <c r="F109" s="89" t="s">
        <v>234</v>
      </c>
      <c r="G109" s="89" t="s">
        <v>327</v>
      </c>
      <c r="H109" s="84"/>
      <c r="I109" s="84"/>
      <c r="J109" s="84"/>
      <c r="K109" s="84"/>
      <c r="L109" s="84"/>
      <c r="M109" s="84"/>
      <c r="N109" s="84"/>
      <c r="O109" s="84"/>
      <c r="P109" s="90"/>
      <c r="Q109" s="90"/>
      <c r="R109" s="84"/>
      <c r="S109" s="84"/>
      <c r="T109" s="84"/>
      <c r="U109" s="84"/>
      <c r="V109" s="84"/>
      <c r="W109" s="84"/>
      <c r="X109" s="84"/>
      <c r="Y109" s="84"/>
      <c r="Z109" s="84">
        <f t="shared" si="45"/>
        <v>77915.22</v>
      </c>
      <c r="AA109" s="90">
        <v>77915.22</v>
      </c>
      <c r="AB109" s="90">
        <f t="shared" si="69"/>
        <v>0</v>
      </c>
      <c r="AC109" s="90">
        <v>77915.22</v>
      </c>
      <c r="AD109" s="85"/>
      <c r="AE109" s="85"/>
      <c r="AF109" s="81"/>
      <c r="AG109" s="85"/>
      <c r="AH109" s="100"/>
      <c r="AI109" s="81"/>
    </row>
    <row r="110" spans="1:35" s="82" customFormat="1" x14ac:dyDescent="0.2">
      <c r="A110" s="92" t="s">
        <v>329</v>
      </c>
      <c r="B110" s="95">
        <v>804</v>
      </c>
      <c r="C110" s="89" t="s">
        <v>323</v>
      </c>
      <c r="D110" s="89" t="s">
        <v>324</v>
      </c>
      <c r="E110" s="89" t="s">
        <v>236</v>
      </c>
      <c r="F110" s="89" t="s">
        <v>234</v>
      </c>
      <c r="G110" s="89" t="s">
        <v>244</v>
      </c>
      <c r="H110" s="84"/>
      <c r="I110" s="84"/>
      <c r="J110" s="84"/>
      <c r="K110" s="84"/>
      <c r="L110" s="84"/>
      <c r="M110" s="84"/>
      <c r="N110" s="84"/>
      <c r="O110" s="84"/>
      <c r="P110" s="90"/>
      <c r="Q110" s="90"/>
      <c r="R110" s="84"/>
      <c r="S110" s="84"/>
      <c r="T110" s="84"/>
      <c r="U110" s="84"/>
      <c r="V110" s="84"/>
      <c r="W110" s="84"/>
      <c r="X110" s="84"/>
      <c r="Y110" s="84"/>
      <c r="Z110" s="84">
        <f t="shared" si="45"/>
        <v>120003.7</v>
      </c>
      <c r="AA110" s="90">
        <v>120003.7</v>
      </c>
      <c r="AB110" s="90">
        <f t="shared" si="69"/>
        <v>0</v>
      </c>
      <c r="AC110" s="90">
        <v>120003.7</v>
      </c>
      <c r="AD110" s="81"/>
      <c r="AE110" s="85"/>
      <c r="AF110" s="81"/>
      <c r="AG110" s="85"/>
      <c r="AH110" s="100"/>
      <c r="AI110" s="81"/>
    </row>
    <row r="111" spans="1:35" s="82" customFormat="1" x14ac:dyDescent="0.2">
      <c r="A111" s="92" t="s">
        <v>330</v>
      </c>
      <c r="B111" s="95">
        <v>804</v>
      </c>
      <c r="C111" s="89" t="s">
        <v>323</v>
      </c>
      <c r="D111" s="89" t="s">
        <v>324</v>
      </c>
      <c r="E111" s="89" t="s">
        <v>196</v>
      </c>
      <c r="F111" s="89" t="s">
        <v>234</v>
      </c>
      <c r="G111" s="89" t="s">
        <v>244</v>
      </c>
      <c r="H111" s="84"/>
      <c r="I111" s="84"/>
      <c r="J111" s="84"/>
      <c r="K111" s="84"/>
      <c r="L111" s="84"/>
      <c r="M111" s="84"/>
      <c r="N111" s="84"/>
      <c r="O111" s="84"/>
      <c r="P111" s="90">
        <f>26903.87+39025.82</f>
        <v>65929.69</v>
      </c>
      <c r="Q111" s="90"/>
      <c r="R111" s="84"/>
      <c r="S111" s="84"/>
      <c r="T111" s="84"/>
      <c r="U111" s="84"/>
      <c r="V111" s="84"/>
      <c r="W111" s="84"/>
      <c r="X111" s="84"/>
      <c r="Y111" s="84"/>
      <c r="Z111" s="84">
        <f t="shared" si="45"/>
        <v>38958.759999999995</v>
      </c>
      <c r="AA111" s="90">
        <v>104888.45</v>
      </c>
      <c r="AB111" s="90">
        <f t="shared" si="69"/>
        <v>-4312.0800000000017</v>
      </c>
      <c r="AC111" s="90">
        <v>100576.37</v>
      </c>
      <c r="AD111" s="85"/>
      <c r="AE111" s="86"/>
      <c r="AF111" s="81"/>
      <c r="AG111" s="85"/>
      <c r="AH111" s="100"/>
      <c r="AI111" s="81"/>
    </row>
    <row r="112" spans="1:35" s="82" customFormat="1" x14ac:dyDescent="0.2">
      <c r="A112" s="92" t="s">
        <v>242</v>
      </c>
      <c r="B112" s="95">
        <v>804</v>
      </c>
      <c r="C112" s="89" t="s">
        <v>323</v>
      </c>
      <c r="D112" s="89" t="s">
        <v>324</v>
      </c>
      <c r="E112" s="89" t="s">
        <v>196</v>
      </c>
      <c r="F112" s="89" t="s">
        <v>234</v>
      </c>
      <c r="G112" s="89" t="s">
        <v>243</v>
      </c>
      <c r="H112" s="84"/>
      <c r="I112" s="84"/>
      <c r="J112" s="84"/>
      <c r="K112" s="84"/>
      <c r="L112" s="84"/>
      <c r="M112" s="84"/>
      <c r="N112" s="84"/>
      <c r="O112" s="84"/>
      <c r="P112" s="90">
        <v>26583.87</v>
      </c>
      <c r="Q112" s="90"/>
      <c r="R112" s="84"/>
      <c r="S112" s="84"/>
      <c r="T112" s="84"/>
      <c r="U112" s="84"/>
      <c r="V112" s="84"/>
      <c r="W112" s="84"/>
      <c r="X112" s="84"/>
      <c r="Y112" s="84"/>
      <c r="Z112" s="84">
        <f t="shared" si="45"/>
        <v>63275.020000000004</v>
      </c>
      <c r="AA112" s="90">
        <v>89858.89</v>
      </c>
      <c r="AB112" s="90">
        <f t="shared" si="69"/>
        <v>-2682</v>
      </c>
      <c r="AC112" s="90">
        <v>87176.89</v>
      </c>
      <c r="AD112" s="85"/>
      <c r="AE112" s="81"/>
      <c r="AF112" s="81"/>
      <c r="AG112" s="85"/>
      <c r="AH112" s="100"/>
      <c r="AI112" s="81"/>
    </row>
    <row r="113" spans="1:35" s="82" customFormat="1" x14ac:dyDescent="0.2">
      <c r="A113" s="92" t="s">
        <v>331</v>
      </c>
      <c r="B113" s="95">
        <v>804</v>
      </c>
      <c r="C113" s="89" t="s">
        <v>323</v>
      </c>
      <c r="D113" s="89" t="s">
        <v>324</v>
      </c>
      <c r="E113" s="89" t="s">
        <v>196</v>
      </c>
      <c r="F113" s="89" t="s">
        <v>234</v>
      </c>
      <c r="G113" s="89" t="s">
        <v>332</v>
      </c>
      <c r="H113" s="84"/>
      <c r="I113" s="84"/>
      <c r="J113" s="84"/>
      <c r="K113" s="84"/>
      <c r="L113" s="84"/>
      <c r="M113" s="84"/>
      <c r="N113" s="84"/>
      <c r="O113" s="84"/>
      <c r="P113" s="90">
        <v>26461.9</v>
      </c>
      <c r="Q113" s="90"/>
      <c r="R113" s="84"/>
      <c r="S113" s="84"/>
      <c r="T113" s="84"/>
      <c r="U113" s="84"/>
      <c r="V113" s="84"/>
      <c r="W113" s="84"/>
      <c r="X113" s="84"/>
      <c r="Y113" s="84"/>
      <c r="Z113" s="84">
        <f t="shared" si="45"/>
        <v>6467.739999999998</v>
      </c>
      <c r="AA113" s="90">
        <v>32929.64</v>
      </c>
      <c r="AB113" s="90">
        <f t="shared" si="69"/>
        <v>-11168.96</v>
      </c>
      <c r="AC113" s="90">
        <v>21760.68</v>
      </c>
      <c r="AD113" s="85"/>
      <c r="AE113" s="81"/>
      <c r="AF113" s="81"/>
      <c r="AG113" s="85"/>
      <c r="AH113" s="100"/>
      <c r="AI113" s="81"/>
    </row>
    <row r="114" spans="1:35" s="99" customFormat="1" hidden="1" x14ac:dyDescent="0.2">
      <c r="A114" s="141" t="s">
        <v>333</v>
      </c>
      <c r="B114" s="137">
        <v>804</v>
      </c>
      <c r="C114" s="138" t="s">
        <v>323</v>
      </c>
      <c r="D114" s="138" t="s">
        <v>324</v>
      </c>
      <c r="E114" s="138" t="s">
        <v>233</v>
      </c>
      <c r="F114" s="138" t="s">
        <v>224</v>
      </c>
      <c r="G114" s="138"/>
      <c r="H114" s="142"/>
      <c r="I114" s="142"/>
      <c r="J114" s="142"/>
      <c r="K114" s="142"/>
      <c r="L114" s="142"/>
      <c r="M114" s="142"/>
      <c r="N114" s="142"/>
      <c r="O114" s="142"/>
      <c r="P114" s="139">
        <f>P115+P116+P117+P118</f>
        <v>1881670.68</v>
      </c>
      <c r="Q114" s="80">
        <f>R114+S114+T114+U114+V114</f>
        <v>0</v>
      </c>
      <c r="R114" s="79">
        <v>0</v>
      </c>
      <c r="S114" s="79"/>
      <c r="T114" s="79"/>
      <c r="U114" s="79">
        <v>0</v>
      </c>
      <c r="V114" s="79"/>
      <c r="W114" s="79"/>
      <c r="X114" s="79">
        <f>P114+Q114</f>
        <v>1881670.68</v>
      </c>
      <c r="Y114" s="79"/>
      <c r="Z114" s="79">
        <f t="shared" si="45"/>
        <v>-1881670.68</v>
      </c>
      <c r="AA114" s="139">
        <f>AA115+AA116+AA117+AA118</f>
        <v>0</v>
      </c>
      <c r="AB114" s="90">
        <f t="shared" si="69"/>
        <v>0</v>
      </c>
      <c r="AC114" s="139">
        <f>AC115+AC116+AC117+AC118</f>
        <v>0</v>
      </c>
      <c r="AD114" s="98"/>
      <c r="AE114" s="98"/>
      <c r="AF114" s="98"/>
      <c r="AG114" s="86"/>
      <c r="AH114" s="86"/>
      <c r="AI114" s="98"/>
    </row>
    <row r="115" spans="1:35" s="82" customFormat="1" hidden="1" x14ac:dyDescent="0.2">
      <c r="A115" s="92" t="s">
        <v>235</v>
      </c>
      <c r="B115" s="95">
        <v>804</v>
      </c>
      <c r="C115" s="89" t="s">
        <v>323</v>
      </c>
      <c r="D115" s="89" t="s">
        <v>324</v>
      </c>
      <c r="E115" s="89" t="s">
        <v>236</v>
      </c>
      <c r="F115" s="89" t="s">
        <v>234</v>
      </c>
      <c r="G115" s="89" t="s">
        <v>237</v>
      </c>
      <c r="H115" s="84"/>
      <c r="I115" s="84"/>
      <c r="J115" s="84"/>
      <c r="K115" s="84"/>
      <c r="L115" s="84"/>
      <c r="M115" s="84"/>
      <c r="N115" s="84"/>
      <c r="O115" s="84"/>
      <c r="P115" s="90">
        <v>1643172.28</v>
      </c>
      <c r="Q115" s="90"/>
      <c r="R115" s="84"/>
      <c r="S115" s="84"/>
      <c r="T115" s="84"/>
      <c r="U115" s="84"/>
      <c r="V115" s="84"/>
      <c r="W115" s="84"/>
      <c r="X115" s="84"/>
      <c r="Y115" s="84"/>
      <c r="Z115" s="84">
        <f t="shared" si="45"/>
        <v>-1643172.28</v>
      </c>
      <c r="AA115" s="90"/>
      <c r="AB115" s="90">
        <f t="shared" si="69"/>
        <v>0</v>
      </c>
      <c r="AC115" s="90"/>
      <c r="AD115" s="85"/>
      <c r="AE115" s="81"/>
      <c r="AF115" s="81"/>
      <c r="AG115" s="85"/>
      <c r="AH115" s="100"/>
      <c r="AI115" s="81"/>
    </row>
    <row r="116" spans="1:35" s="82" customFormat="1" hidden="1" x14ac:dyDescent="0.2">
      <c r="A116" s="92" t="s">
        <v>238</v>
      </c>
      <c r="B116" s="95">
        <v>804</v>
      </c>
      <c r="C116" s="89" t="s">
        <v>323</v>
      </c>
      <c r="D116" s="89" t="s">
        <v>324</v>
      </c>
      <c r="E116" s="89" t="s">
        <v>236</v>
      </c>
      <c r="F116" s="89" t="s">
        <v>234</v>
      </c>
      <c r="G116" s="89" t="s">
        <v>327</v>
      </c>
      <c r="H116" s="84"/>
      <c r="I116" s="84"/>
      <c r="J116" s="84"/>
      <c r="K116" s="84"/>
      <c r="L116" s="84"/>
      <c r="M116" s="84"/>
      <c r="N116" s="84"/>
      <c r="O116" s="84"/>
      <c r="P116" s="90">
        <v>187746.66</v>
      </c>
      <c r="Q116" s="90"/>
      <c r="R116" s="84"/>
      <c r="S116" s="84"/>
      <c r="T116" s="84"/>
      <c r="U116" s="84"/>
      <c r="V116" s="84"/>
      <c r="W116" s="84"/>
      <c r="X116" s="84"/>
      <c r="Y116" s="84"/>
      <c r="Z116" s="84">
        <f t="shared" si="45"/>
        <v>-187746.66</v>
      </c>
      <c r="AA116" s="90"/>
      <c r="AB116" s="90">
        <f t="shared" si="69"/>
        <v>0</v>
      </c>
      <c r="AC116" s="90"/>
      <c r="AD116" s="85"/>
      <c r="AE116" s="81"/>
      <c r="AF116" s="81"/>
      <c r="AG116" s="85"/>
      <c r="AH116" s="100"/>
      <c r="AI116" s="81"/>
    </row>
    <row r="117" spans="1:35" s="82" customFormat="1" hidden="1" x14ac:dyDescent="0.2">
      <c r="A117" s="92" t="s">
        <v>240</v>
      </c>
      <c r="B117" s="95">
        <v>804</v>
      </c>
      <c r="C117" s="89" t="s">
        <v>323</v>
      </c>
      <c r="D117" s="89" t="s">
        <v>324</v>
      </c>
      <c r="E117" s="89" t="s">
        <v>196</v>
      </c>
      <c r="F117" s="89" t="s">
        <v>234</v>
      </c>
      <c r="G117" s="89" t="s">
        <v>244</v>
      </c>
      <c r="H117" s="84"/>
      <c r="I117" s="84"/>
      <c r="J117" s="84"/>
      <c r="K117" s="84"/>
      <c r="L117" s="84"/>
      <c r="M117" s="84"/>
      <c r="N117" s="84"/>
      <c r="O117" s="84"/>
      <c r="P117" s="90">
        <f>14759.11+21409.06</f>
        <v>36168.17</v>
      </c>
      <c r="Q117" s="90"/>
      <c r="R117" s="84"/>
      <c r="S117" s="84"/>
      <c r="T117" s="84"/>
      <c r="U117" s="84"/>
      <c r="V117" s="84"/>
      <c r="W117" s="84"/>
      <c r="X117" s="84"/>
      <c r="Y117" s="84"/>
      <c r="Z117" s="84">
        <f t="shared" si="45"/>
        <v>-36168.17</v>
      </c>
      <c r="AA117" s="90"/>
      <c r="AB117" s="90">
        <f t="shared" si="69"/>
        <v>0</v>
      </c>
      <c r="AC117" s="90"/>
      <c r="AD117" s="85"/>
      <c r="AE117" s="81"/>
      <c r="AF117" s="81"/>
      <c r="AG117" s="85"/>
      <c r="AH117" s="100"/>
      <c r="AI117" s="81"/>
    </row>
    <row r="118" spans="1:35" s="82" customFormat="1" hidden="1" x14ac:dyDescent="0.2">
      <c r="A118" s="92" t="s">
        <v>242</v>
      </c>
      <c r="B118" s="95">
        <v>804</v>
      </c>
      <c r="C118" s="89" t="s">
        <v>323</v>
      </c>
      <c r="D118" s="89" t="s">
        <v>324</v>
      </c>
      <c r="E118" s="89" t="s">
        <v>196</v>
      </c>
      <c r="F118" s="89" t="s">
        <v>234</v>
      </c>
      <c r="G118" s="89" t="s">
        <v>243</v>
      </c>
      <c r="H118" s="84"/>
      <c r="I118" s="84"/>
      <c r="J118" s="84"/>
      <c r="K118" s="84"/>
      <c r="L118" s="84"/>
      <c r="M118" s="84"/>
      <c r="N118" s="84"/>
      <c r="O118" s="84"/>
      <c r="P118" s="90">
        <v>14583.57</v>
      </c>
      <c r="Q118" s="90"/>
      <c r="R118" s="84"/>
      <c r="S118" s="84"/>
      <c r="T118" s="84"/>
      <c r="U118" s="84"/>
      <c r="V118" s="84"/>
      <c r="W118" s="84"/>
      <c r="X118" s="84"/>
      <c r="Y118" s="84"/>
      <c r="Z118" s="84">
        <f t="shared" si="45"/>
        <v>-14583.57</v>
      </c>
      <c r="AA118" s="90"/>
      <c r="AB118" s="90">
        <f t="shared" si="69"/>
        <v>0</v>
      </c>
      <c r="AC118" s="90"/>
      <c r="AD118" s="81"/>
      <c r="AE118" s="81"/>
      <c r="AF118" s="81"/>
      <c r="AG118" s="85"/>
      <c r="AH118" s="100"/>
      <c r="AI118" s="81"/>
    </row>
    <row r="119" spans="1:35" s="99" customFormat="1" hidden="1" x14ac:dyDescent="0.2">
      <c r="A119" s="141" t="s">
        <v>334</v>
      </c>
      <c r="B119" s="137">
        <v>804</v>
      </c>
      <c r="C119" s="138" t="s">
        <v>323</v>
      </c>
      <c r="D119" s="138" t="s">
        <v>324</v>
      </c>
      <c r="E119" s="138" t="s">
        <v>321</v>
      </c>
      <c r="F119" s="138" t="s">
        <v>321</v>
      </c>
      <c r="G119" s="138"/>
      <c r="H119" s="142"/>
      <c r="I119" s="142"/>
      <c r="J119" s="142"/>
      <c r="K119" s="142"/>
      <c r="L119" s="142"/>
      <c r="M119" s="142"/>
      <c r="N119" s="142"/>
      <c r="O119" s="142"/>
      <c r="P119" s="139">
        <f>P120+P121+P122+P123</f>
        <v>3191102.59</v>
      </c>
      <c r="Q119" s="80">
        <f>R119+S119+T119+U119+V119</f>
        <v>0</v>
      </c>
      <c r="R119" s="79">
        <v>0</v>
      </c>
      <c r="S119" s="79"/>
      <c r="T119" s="79"/>
      <c r="U119" s="79">
        <v>0</v>
      </c>
      <c r="V119" s="79"/>
      <c r="W119" s="79"/>
      <c r="X119" s="79">
        <f>P119+Q119</f>
        <v>3191102.59</v>
      </c>
      <c r="Y119" s="79"/>
      <c r="Z119" s="79">
        <f t="shared" si="45"/>
        <v>-3191102.59</v>
      </c>
      <c r="AA119" s="139">
        <f>AA120+AA121+AA122+AA123</f>
        <v>0</v>
      </c>
      <c r="AB119" s="90">
        <f t="shared" si="69"/>
        <v>0</v>
      </c>
      <c r="AC119" s="139">
        <f>AC120+AC121+AC122+AC123</f>
        <v>0</v>
      </c>
      <c r="AD119" s="98"/>
      <c r="AE119" s="98"/>
      <c r="AF119" s="98"/>
      <c r="AG119" s="86"/>
      <c r="AH119" s="86"/>
      <c r="AI119" s="98"/>
    </row>
    <row r="120" spans="1:35" s="82" customFormat="1" hidden="1" x14ac:dyDescent="0.2">
      <c r="A120" s="92" t="s">
        <v>235</v>
      </c>
      <c r="B120" s="95">
        <v>804</v>
      </c>
      <c r="C120" s="89" t="s">
        <v>323</v>
      </c>
      <c r="D120" s="89" t="s">
        <v>324</v>
      </c>
      <c r="E120" s="89" t="s">
        <v>236</v>
      </c>
      <c r="F120" s="89" t="s">
        <v>234</v>
      </c>
      <c r="G120" s="89" t="s">
        <v>237</v>
      </c>
      <c r="H120" s="84"/>
      <c r="I120" s="84"/>
      <c r="J120" s="84"/>
      <c r="K120" s="84"/>
      <c r="L120" s="84"/>
      <c r="M120" s="84"/>
      <c r="N120" s="84"/>
      <c r="O120" s="84"/>
      <c r="P120" s="90">
        <v>2786636.05</v>
      </c>
      <c r="Q120" s="90"/>
      <c r="R120" s="84"/>
      <c r="S120" s="84"/>
      <c r="T120" s="84"/>
      <c r="U120" s="84"/>
      <c r="V120" s="84"/>
      <c r="W120" s="84"/>
      <c r="X120" s="84"/>
      <c r="Y120" s="84"/>
      <c r="Z120" s="84">
        <f t="shared" si="45"/>
        <v>-2786636.05</v>
      </c>
      <c r="AA120" s="90"/>
      <c r="AB120" s="90">
        <f t="shared" si="69"/>
        <v>0</v>
      </c>
      <c r="AC120" s="90"/>
      <c r="AD120" s="81"/>
      <c r="AE120" s="81"/>
      <c r="AF120" s="81"/>
      <c r="AG120" s="85"/>
      <c r="AH120" s="85"/>
      <c r="AI120" s="81"/>
    </row>
    <row r="121" spans="1:35" s="82" customFormat="1" hidden="1" x14ac:dyDescent="0.2">
      <c r="A121" s="92" t="s">
        <v>238</v>
      </c>
      <c r="B121" s="95">
        <v>804</v>
      </c>
      <c r="C121" s="89" t="s">
        <v>323</v>
      </c>
      <c r="D121" s="89" t="s">
        <v>324</v>
      </c>
      <c r="E121" s="89" t="s">
        <v>236</v>
      </c>
      <c r="F121" s="89" t="s">
        <v>234</v>
      </c>
      <c r="G121" s="89" t="s">
        <v>327</v>
      </c>
      <c r="H121" s="84"/>
      <c r="I121" s="84"/>
      <c r="J121" s="84"/>
      <c r="K121" s="84"/>
      <c r="L121" s="84"/>
      <c r="M121" s="84"/>
      <c r="N121" s="84"/>
      <c r="O121" s="84"/>
      <c r="P121" s="90">
        <v>318397.28999999998</v>
      </c>
      <c r="Q121" s="90"/>
      <c r="R121" s="84"/>
      <c r="S121" s="84"/>
      <c r="T121" s="84"/>
      <c r="U121" s="84"/>
      <c r="V121" s="84"/>
      <c r="W121" s="84"/>
      <c r="X121" s="84"/>
      <c r="Y121" s="84"/>
      <c r="Z121" s="84">
        <f t="shared" si="45"/>
        <v>-318397.28999999998</v>
      </c>
      <c r="AA121" s="90"/>
      <c r="AB121" s="90">
        <f t="shared" si="69"/>
        <v>0</v>
      </c>
      <c r="AC121" s="90"/>
      <c r="AD121" s="81"/>
      <c r="AE121" s="81"/>
      <c r="AF121" s="81"/>
      <c r="AG121" s="81"/>
      <c r="AH121" s="81"/>
      <c r="AI121" s="81"/>
    </row>
    <row r="122" spans="1:35" s="82" customFormat="1" hidden="1" x14ac:dyDescent="0.2">
      <c r="A122" s="92" t="s">
        <v>240</v>
      </c>
      <c r="B122" s="95">
        <v>804</v>
      </c>
      <c r="C122" s="89" t="s">
        <v>323</v>
      </c>
      <c r="D122" s="89" t="s">
        <v>324</v>
      </c>
      <c r="E122" s="89" t="s">
        <v>196</v>
      </c>
      <c r="F122" s="89" t="s">
        <v>234</v>
      </c>
      <c r="G122" s="89" t="s">
        <v>244</v>
      </c>
      <c r="H122" s="84"/>
      <c r="I122" s="84"/>
      <c r="J122" s="84"/>
      <c r="K122" s="84"/>
      <c r="L122" s="84"/>
      <c r="M122" s="84"/>
      <c r="N122" s="84"/>
      <c r="O122" s="84"/>
      <c r="P122" s="90">
        <f>25029.8+36307.36</f>
        <v>61337.16</v>
      </c>
      <c r="Q122" s="90"/>
      <c r="R122" s="84"/>
      <c r="S122" s="84"/>
      <c r="T122" s="84"/>
      <c r="U122" s="84"/>
      <c r="V122" s="84"/>
      <c r="W122" s="84"/>
      <c r="X122" s="84"/>
      <c r="Y122" s="84"/>
      <c r="Z122" s="84">
        <f t="shared" si="45"/>
        <v>-61337.16</v>
      </c>
      <c r="AA122" s="90"/>
      <c r="AB122" s="90">
        <f t="shared" si="69"/>
        <v>0</v>
      </c>
      <c r="AC122" s="90"/>
      <c r="AD122" s="81"/>
      <c r="AE122" s="81"/>
      <c r="AF122" s="81"/>
      <c r="AG122" s="81"/>
      <c r="AH122" s="81"/>
      <c r="AI122" s="81"/>
    </row>
    <row r="123" spans="1:35" s="82" customFormat="1" hidden="1" x14ac:dyDescent="0.2">
      <c r="A123" s="92" t="s">
        <v>242</v>
      </c>
      <c r="B123" s="95">
        <v>804</v>
      </c>
      <c r="C123" s="89" t="s">
        <v>323</v>
      </c>
      <c r="D123" s="89" t="s">
        <v>324</v>
      </c>
      <c r="E123" s="89" t="s">
        <v>196</v>
      </c>
      <c r="F123" s="89" t="s">
        <v>234</v>
      </c>
      <c r="G123" s="89" t="s">
        <v>243</v>
      </c>
      <c r="H123" s="84"/>
      <c r="I123" s="84"/>
      <c r="J123" s="84"/>
      <c r="K123" s="84"/>
      <c r="L123" s="84"/>
      <c r="M123" s="84"/>
      <c r="N123" s="84"/>
      <c r="O123" s="84"/>
      <c r="P123" s="90">
        <v>24732.09</v>
      </c>
      <c r="Q123" s="90"/>
      <c r="R123" s="84"/>
      <c r="S123" s="84"/>
      <c r="T123" s="84"/>
      <c r="U123" s="84"/>
      <c r="V123" s="84"/>
      <c r="W123" s="84"/>
      <c r="X123" s="84"/>
      <c r="Y123" s="84"/>
      <c r="Z123" s="84">
        <f t="shared" si="45"/>
        <v>-24732.09</v>
      </c>
      <c r="AA123" s="90"/>
      <c r="AB123" s="90">
        <f t="shared" si="69"/>
        <v>0</v>
      </c>
      <c r="AC123" s="90"/>
      <c r="AD123" s="81"/>
      <c r="AE123" s="81"/>
      <c r="AF123" s="81"/>
      <c r="AG123" s="81"/>
      <c r="AH123" s="81"/>
      <c r="AI123" s="81"/>
    </row>
    <row r="124" spans="1:35" s="99" customFormat="1" hidden="1" x14ac:dyDescent="0.2">
      <c r="A124" s="141" t="s">
        <v>335</v>
      </c>
      <c r="B124" s="137">
        <v>804</v>
      </c>
      <c r="C124" s="138" t="s">
        <v>323</v>
      </c>
      <c r="D124" s="138" t="s">
        <v>324</v>
      </c>
      <c r="E124" s="138" t="s">
        <v>321</v>
      </c>
      <c r="F124" s="138" t="s">
        <v>321</v>
      </c>
      <c r="G124" s="138"/>
      <c r="H124" s="142"/>
      <c r="I124" s="142"/>
      <c r="J124" s="142"/>
      <c r="K124" s="142"/>
      <c r="L124" s="142"/>
      <c r="M124" s="142"/>
      <c r="N124" s="142"/>
      <c r="O124" s="142"/>
      <c r="P124" s="139">
        <f>P125+P126+P127+P128</f>
        <v>2757418.8</v>
      </c>
      <c r="Q124" s="80"/>
      <c r="R124" s="79"/>
      <c r="S124" s="79"/>
      <c r="T124" s="79"/>
      <c r="U124" s="79"/>
      <c r="V124" s="79"/>
      <c r="W124" s="79"/>
      <c r="X124" s="79"/>
      <c r="Y124" s="79"/>
      <c r="Z124" s="79">
        <f t="shared" si="45"/>
        <v>-2757418.8</v>
      </c>
      <c r="AA124" s="139">
        <f>AA125+AA126+AA127+AA128</f>
        <v>0</v>
      </c>
      <c r="AB124" s="90">
        <f t="shared" si="69"/>
        <v>0</v>
      </c>
      <c r="AC124" s="139">
        <f>AC125+AC126+AC127+AC128</f>
        <v>0</v>
      </c>
      <c r="AD124" s="98"/>
      <c r="AE124" s="98"/>
      <c r="AF124" s="98"/>
      <c r="AG124" s="98"/>
      <c r="AH124" s="98"/>
      <c r="AI124" s="98"/>
    </row>
    <row r="125" spans="1:35" s="82" customFormat="1" hidden="1" x14ac:dyDescent="0.2">
      <c r="A125" s="92" t="s">
        <v>235</v>
      </c>
      <c r="B125" s="95">
        <v>804</v>
      </c>
      <c r="C125" s="89" t="s">
        <v>323</v>
      </c>
      <c r="D125" s="89" t="s">
        <v>324</v>
      </c>
      <c r="E125" s="89" t="s">
        <v>236</v>
      </c>
      <c r="F125" s="89" t="s">
        <v>234</v>
      </c>
      <c r="G125" s="89" t="s">
        <v>237</v>
      </c>
      <c r="H125" s="84"/>
      <c r="I125" s="84"/>
      <c r="J125" s="84"/>
      <c r="K125" s="84"/>
      <c r="L125" s="84"/>
      <c r="M125" s="84"/>
      <c r="N125" s="84"/>
      <c r="O125" s="84"/>
      <c r="P125" s="90">
        <f>1515786.4+1163575.07</f>
        <v>2679361.4699999997</v>
      </c>
      <c r="Q125" s="90"/>
      <c r="R125" s="84"/>
      <c r="S125" s="84"/>
      <c r="T125" s="84"/>
      <c r="U125" s="84"/>
      <c r="V125" s="84"/>
      <c r="W125" s="84"/>
      <c r="X125" s="84"/>
      <c r="Y125" s="84"/>
      <c r="Z125" s="84">
        <f t="shared" si="45"/>
        <v>-2679361.4699999997</v>
      </c>
      <c r="AA125" s="90"/>
      <c r="AB125" s="90">
        <f t="shared" si="69"/>
        <v>0</v>
      </c>
      <c r="AC125" s="90"/>
      <c r="AD125" s="81"/>
      <c r="AE125" s="81"/>
      <c r="AF125" s="81"/>
    </row>
    <row r="126" spans="1:35" s="82" customFormat="1" hidden="1" x14ac:dyDescent="0.2">
      <c r="A126" s="92" t="s">
        <v>238</v>
      </c>
      <c r="B126" s="95">
        <v>804</v>
      </c>
      <c r="C126" s="89" t="s">
        <v>323</v>
      </c>
      <c r="D126" s="89" t="s">
        <v>324</v>
      </c>
      <c r="E126" s="89" t="s">
        <v>236</v>
      </c>
      <c r="F126" s="89" t="s">
        <v>234</v>
      </c>
      <c r="G126" s="89" t="s">
        <v>239</v>
      </c>
      <c r="H126" s="84"/>
      <c r="I126" s="84"/>
      <c r="J126" s="84"/>
      <c r="K126" s="84"/>
      <c r="L126" s="84"/>
      <c r="M126" s="84"/>
      <c r="N126" s="84"/>
      <c r="O126" s="84"/>
      <c r="P126" s="90">
        <v>10400</v>
      </c>
      <c r="Q126" s="90"/>
      <c r="R126" s="84"/>
      <c r="S126" s="84"/>
      <c r="T126" s="84"/>
      <c r="U126" s="84"/>
      <c r="V126" s="84"/>
      <c r="W126" s="84"/>
      <c r="X126" s="84"/>
      <c r="Y126" s="84"/>
      <c r="Z126" s="84">
        <f t="shared" si="45"/>
        <v>-10400</v>
      </c>
      <c r="AA126" s="90"/>
      <c r="AB126" s="90">
        <f t="shared" si="69"/>
        <v>0</v>
      </c>
      <c r="AC126" s="90"/>
      <c r="AD126" s="81"/>
      <c r="AE126" s="81"/>
      <c r="AF126" s="81"/>
    </row>
    <row r="127" spans="1:35" s="82" customFormat="1" hidden="1" x14ac:dyDescent="0.2">
      <c r="A127" s="92" t="s">
        <v>240</v>
      </c>
      <c r="B127" s="95">
        <v>804</v>
      </c>
      <c r="C127" s="89" t="s">
        <v>323</v>
      </c>
      <c r="D127" s="89" t="s">
        <v>324</v>
      </c>
      <c r="E127" s="89" t="s">
        <v>196</v>
      </c>
      <c r="F127" s="89" t="s">
        <v>336</v>
      </c>
      <c r="G127" s="89" t="s">
        <v>241</v>
      </c>
      <c r="H127" s="84"/>
      <c r="I127" s="84"/>
      <c r="J127" s="84"/>
      <c r="K127" s="84"/>
      <c r="L127" s="84"/>
      <c r="M127" s="84"/>
      <c r="N127" s="84"/>
      <c r="O127" s="84"/>
      <c r="P127" s="90">
        <f>23118.51+23261.46</f>
        <v>46379.97</v>
      </c>
      <c r="Q127" s="90"/>
      <c r="R127" s="84"/>
      <c r="S127" s="84"/>
      <c r="T127" s="84"/>
      <c r="U127" s="84"/>
      <c r="V127" s="84"/>
      <c r="W127" s="84"/>
      <c r="X127" s="84"/>
      <c r="Y127" s="84"/>
      <c r="Z127" s="84">
        <f t="shared" si="45"/>
        <v>-46379.97</v>
      </c>
      <c r="AA127" s="90"/>
      <c r="AB127" s="90">
        <f t="shared" si="69"/>
        <v>0</v>
      </c>
      <c r="AC127" s="90"/>
      <c r="AD127" s="81"/>
      <c r="AE127" s="81"/>
      <c r="AF127" s="81"/>
    </row>
    <row r="128" spans="1:35" s="82" customFormat="1" hidden="1" x14ac:dyDescent="0.2">
      <c r="A128" s="92" t="s">
        <v>242</v>
      </c>
      <c r="B128" s="95">
        <v>804</v>
      </c>
      <c r="C128" s="89" t="s">
        <v>323</v>
      </c>
      <c r="D128" s="89" t="s">
        <v>324</v>
      </c>
      <c r="E128" s="89" t="s">
        <v>196</v>
      </c>
      <c r="F128" s="89" t="s">
        <v>246</v>
      </c>
      <c r="G128" s="89" t="s">
        <v>243</v>
      </c>
      <c r="H128" s="84"/>
      <c r="I128" s="84"/>
      <c r="J128" s="84"/>
      <c r="K128" s="84"/>
      <c r="L128" s="84"/>
      <c r="M128" s="84"/>
      <c r="N128" s="84"/>
      <c r="O128" s="84"/>
      <c r="P128" s="90">
        <v>21277.360000000001</v>
      </c>
      <c r="Q128" s="90"/>
      <c r="R128" s="84"/>
      <c r="S128" s="84"/>
      <c r="T128" s="84"/>
      <c r="U128" s="84"/>
      <c r="V128" s="84"/>
      <c r="W128" s="84"/>
      <c r="X128" s="84"/>
      <c r="Y128" s="84"/>
      <c r="Z128" s="84">
        <f t="shared" si="45"/>
        <v>-21277.360000000001</v>
      </c>
      <c r="AA128" s="90"/>
      <c r="AB128" s="90">
        <f t="shared" si="69"/>
        <v>0</v>
      </c>
      <c r="AC128" s="90"/>
      <c r="AD128" s="81"/>
      <c r="AE128" s="81"/>
      <c r="AF128" s="81"/>
    </row>
    <row r="129" spans="1:35" s="82" customFormat="1" ht="25.5" hidden="1" x14ac:dyDescent="0.2">
      <c r="A129" s="87" t="s">
        <v>337</v>
      </c>
      <c r="B129" s="95">
        <v>804</v>
      </c>
      <c r="C129" s="89" t="s">
        <v>323</v>
      </c>
      <c r="D129" s="89" t="s">
        <v>324</v>
      </c>
      <c r="E129" s="89" t="s">
        <v>196</v>
      </c>
      <c r="F129" s="89" t="s">
        <v>234</v>
      </c>
      <c r="G129" s="89" t="s">
        <v>332</v>
      </c>
      <c r="H129" s="84"/>
      <c r="I129" s="84"/>
      <c r="J129" s="84"/>
      <c r="K129" s="84"/>
      <c r="L129" s="84"/>
      <c r="M129" s="84"/>
      <c r="N129" s="84"/>
      <c r="O129" s="84"/>
      <c r="P129" s="90">
        <v>6467.74</v>
      </c>
      <c r="Q129" s="90">
        <f>R129+S129+T129+U129+V129</f>
        <v>0</v>
      </c>
      <c r="R129" s="84">
        <v>0</v>
      </c>
      <c r="S129" s="84"/>
      <c r="T129" s="84"/>
      <c r="U129" s="84">
        <v>0</v>
      </c>
      <c r="V129" s="84"/>
      <c r="W129" s="84"/>
      <c r="X129" s="84">
        <f>P129+Q129</f>
        <v>6467.74</v>
      </c>
      <c r="Y129" s="84"/>
      <c r="Z129" s="84">
        <f t="shared" si="45"/>
        <v>-6467.74</v>
      </c>
      <c r="AA129" s="90"/>
      <c r="AB129" s="90">
        <f t="shared" si="69"/>
        <v>0</v>
      </c>
      <c r="AC129" s="90"/>
      <c r="AD129" s="81"/>
      <c r="AE129" s="81"/>
      <c r="AF129" s="81"/>
    </row>
    <row r="130" spans="1:35" s="82" customFormat="1" hidden="1" x14ac:dyDescent="0.2">
      <c r="A130" s="141" t="s">
        <v>338</v>
      </c>
      <c r="B130" s="143">
        <v>804</v>
      </c>
      <c r="C130" s="138" t="s">
        <v>323</v>
      </c>
      <c r="D130" s="89" t="s">
        <v>324</v>
      </c>
      <c r="E130" s="89" t="s">
        <v>236</v>
      </c>
      <c r="F130" s="89" t="s">
        <v>234</v>
      </c>
      <c r="G130" s="89" t="s">
        <v>237</v>
      </c>
      <c r="H130" s="84"/>
      <c r="I130" s="84"/>
      <c r="J130" s="84"/>
      <c r="K130" s="84"/>
      <c r="L130" s="84"/>
      <c r="M130" s="84"/>
      <c r="N130" s="84"/>
      <c r="O130" s="84"/>
      <c r="P130" s="90">
        <f>1048635.29+816336.32/2</f>
        <v>1456803.45</v>
      </c>
      <c r="Q130" s="90">
        <f>R130+S130+T130+U130+V130</f>
        <v>0</v>
      </c>
      <c r="R130" s="84">
        <v>0</v>
      </c>
      <c r="S130" s="84"/>
      <c r="T130" s="84"/>
      <c r="U130" s="84">
        <v>0</v>
      </c>
      <c r="V130" s="84"/>
      <c r="W130" s="84"/>
      <c r="X130" s="84">
        <f>P130+Q130</f>
        <v>1456803.45</v>
      </c>
      <c r="Y130" s="84"/>
      <c r="Z130" s="84">
        <f t="shared" si="45"/>
        <v>-1456803.45</v>
      </c>
      <c r="AA130" s="90"/>
      <c r="AB130" s="90">
        <f t="shared" si="69"/>
        <v>0</v>
      </c>
      <c r="AC130" s="90"/>
      <c r="AD130" s="81"/>
      <c r="AE130" s="81"/>
      <c r="AF130" s="81"/>
      <c r="AG130" s="81"/>
      <c r="AH130" s="81"/>
      <c r="AI130" s="81"/>
    </row>
    <row r="131" spans="1:35" s="82" customFormat="1" ht="25.5" hidden="1" x14ac:dyDescent="0.2">
      <c r="A131" s="141" t="s">
        <v>339</v>
      </c>
      <c r="B131" s="143">
        <v>804</v>
      </c>
      <c r="C131" s="138" t="s">
        <v>323</v>
      </c>
      <c r="D131" s="138" t="s">
        <v>324</v>
      </c>
      <c r="E131" s="138" t="s">
        <v>233</v>
      </c>
      <c r="F131" s="138" t="s">
        <v>234</v>
      </c>
      <c r="G131" s="138" t="s">
        <v>340</v>
      </c>
      <c r="H131" s="84"/>
      <c r="I131" s="84"/>
      <c r="J131" s="84"/>
      <c r="K131" s="84"/>
      <c r="L131" s="84"/>
      <c r="M131" s="84"/>
      <c r="N131" s="84"/>
      <c r="O131" s="84"/>
      <c r="P131" s="139">
        <f>P132+P133</f>
        <v>0</v>
      </c>
      <c r="Q131" s="90"/>
      <c r="R131" s="84"/>
      <c r="S131" s="84"/>
      <c r="T131" s="84"/>
      <c r="U131" s="84"/>
      <c r="V131" s="84"/>
      <c r="W131" s="84"/>
      <c r="X131" s="84"/>
      <c r="Y131" s="84"/>
      <c r="Z131" s="79">
        <f t="shared" si="45"/>
        <v>0</v>
      </c>
      <c r="AA131" s="139">
        <f>AA132+AA133</f>
        <v>0</v>
      </c>
      <c r="AB131" s="90">
        <f t="shared" si="69"/>
        <v>0</v>
      </c>
      <c r="AC131" s="139">
        <f>AC132+AC133</f>
        <v>0</v>
      </c>
      <c r="AD131" s="81"/>
      <c r="AE131" s="81"/>
      <c r="AF131" s="81"/>
    </row>
    <row r="132" spans="1:35" s="82" customFormat="1" hidden="1" x14ac:dyDescent="0.2">
      <c r="A132" s="92" t="s">
        <v>235</v>
      </c>
      <c r="B132" s="95"/>
      <c r="C132" s="89"/>
      <c r="D132" s="89"/>
      <c r="E132" s="89" t="s">
        <v>236</v>
      </c>
      <c r="F132" s="89" t="s">
        <v>234</v>
      </c>
      <c r="G132" s="89" t="s">
        <v>237</v>
      </c>
      <c r="H132" s="84"/>
      <c r="I132" s="84"/>
      <c r="J132" s="84"/>
      <c r="K132" s="84"/>
      <c r="L132" s="84"/>
      <c r="M132" s="84"/>
      <c r="N132" s="84"/>
      <c r="O132" s="84"/>
      <c r="P132" s="90">
        <f>1100000+300000-134973.48-1265026.52</f>
        <v>0</v>
      </c>
      <c r="Q132" s="90"/>
      <c r="R132" s="84"/>
      <c r="S132" s="84"/>
      <c r="T132" s="84"/>
      <c r="U132" s="84"/>
      <c r="V132" s="84"/>
      <c r="W132" s="84"/>
      <c r="X132" s="84"/>
      <c r="Y132" s="84"/>
      <c r="Z132" s="84">
        <f t="shared" si="45"/>
        <v>0</v>
      </c>
      <c r="AA132" s="90">
        <f>1100000+300000-134973.48-1265026.52</f>
        <v>0</v>
      </c>
      <c r="AB132" s="90">
        <f t="shared" si="69"/>
        <v>0</v>
      </c>
      <c r="AC132" s="90">
        <f>1100000+300000-134973.48-1265026.52</f>
        <v>0</v>
      </c>
      <c r="AD132" s="81"/>
      <c r="AE132" s="81"/>
      <c r="AF132" s="81"/>
    </row>
    <row r="133" spans="1:35" s="82" customFormat="1" hidden="1" x14ac:dyDescent="0.2">
      <c r="A133" s="92" t="s">
        <v>238</v>
      </c>
      <c r="B133" s="95"/>
      <c r="C133" s="89"/>
      <c r="D133" s="89"/>
      <c r="E133" s="89" t="s">
        <v>236</v>
      </c>
      <c r="F133" s="89" t="s">
        <v>234</v>
      </c>
      <c r="G133" s="89" t="s">
        <v>327</v>
      </c>
      <c r="H133" s="84"/>
      <c r="I133" s="84"/>
      <c r="J133" s="84"/>
      <c r="K133" s="84"/>
      <c r="L133" s="84"/>
      <c r="M133" s="84"/>
      <c r="N133" s="84"/>
      <c r="O133" s="84"/>
      <c r="P133" s="90">
        <f>78799.75-78799.75</f>
        <v>0</v>
      </c>
      <c r="Q133" s="90"/>
      <c r="R133" s="84"/>
      <c r="S133" s="84"/>
      <c r="T133" s="84"/>
      <c r="U133" s="84"/>
      <c r="V133" s="84"/>
      <c r="W133" s="84"/>
      <c r="X133" s="84"/>
      <c r="Y133" s="84"/>
      <c r="Z133" s="84">
        <f t="shared" si="45"/>
        <v>0</v>
      </c>
      <c r="AA133" s="90">
        <f>78799.75-78799.75</f>
        <v>0</v>
      </c>
      <c r="AB133" s="90">
        <f t="shared" si="69"/>
        <v>0</v>
      </c>
      <c r="AC133" s="90">
        <f>78799.75-78799.75</f>
        <v>0</v>
      </c>
      <c r="AD133" s="81"/>
      <c r="AE133" s="81"/>
      <c r="AF133" s="81"/>
    </row>
    <row r="134" spans="1:35" s="99" customFormat="1" x14ac:dyDescent="0.2">
      <c r="A134" s="76" t="s">
        <v>245</v>
      </c>
      <c r="B134" s="77">
        <v>804</v>
      </c>
      <c r="C134" s="78" t="s">
        <v>323</v>
      </c>
      <c r="D134" s="78" t="s">
        <v>324</v>
      </c>
      <c r="E134" s="78" t="s">
        <v>168</v>
      </c>
      <c r="F134" s="78" t="s">
        <v>246</v>
      </c>
      <c r="G134" s="78" t="s">
        <v>340</v>
      </c>
      <c r="H134" s="79">
        <f t="shared" ref="H134:O134" si="70">SUM(H135:H138)</f>
        <v>224384.04</v>
      </c>
      <c r="I134" s="79">
        <f t="shared" si="70"/>
        <v>50000</v>
      </c>
      <c r="J134" s="79">
        <f t="shared" si="70"/>
        <v>0</v>
      </c>
      <c r="K134" s="79">
        <f t="shared" si="70"/>
        <v>0</v>
      </c>
      <c r="L134" s="79">
        <f t="shared" si="70"/>
        <v>0</v>
      </c>
      <c r="M134" s="79">
        <f t="shared" si="70"/>
        <v>50000</v>
      </c>
      <c r="N134" s="79">
        <f t="shared" si="70"/>
        <v>274384.04000000004</v>
      </c>
      <c r="O134" s="79">
        <f t="shared" si="70"/>
        <v>179507.23199999999</v>
      </c>
      <c r="P134" s="80">
        <f>P136+P137+P138+P139+P140+P144+P148+P135</f>
        <v>2567334.6100000003</v>
      </c>
      <c r="Q134" s="80">
        <f t="shared" ref="Q134:Y134" si="71">SUM(Q135:Q138)</f>
        <v>0</v>
      </c>
      <c r="R134" s="80">
        <f t="shared" si="71"/>
        <v>0</v>
      </c>
      <c r="S134" s="80">
        <f t="shared" si="71"/>
        <v>0</v>
      </c>
      <c r="T134" s="80">
        <f t="shared" si="71"/>
        <v>0</v>
      </c>
      <c r="U134" s="80">
        <f t="shared" si="71"/>
        <v>0</v>
      </c>
      <c r="V134" s="80">
        <f t="shared" si="71"/>
        <v>0</v>
      </c>
      <c r="W134" s="80">
        <f t="shared" si="71"/>
        <v>0</v>
      </c>
      <c r="X134" s="80">
        <f t="shared" si="71"/>
        <v>980746.51</v>
      </c>
      <c r="Y134" s="80">
        <f t="shared" si="71"/>
        <v>0</v>
      </c>
      <c r="Z134" s="80">
        <f t="shared" si="45"/>
        <v>5478120.8299999991</v>
      </c>
      <c r="AA134" s="80">
        <f>AA135+AA136+AA137+AA138+AA139+AA140+AA144+AA148+AA152</f>
        <v>8045455.4399999995</v>
      </c>
      <c r="AB134" s="80">
        <f t="shared" ref="AB134:AC134" si="72">AB135+AB136+AB137+AB138+AB139+AB140+AB144+AB148+AB152</f>
        <v>0</v>
      </c>
      <c r="AC134" s="80">
        <f t="shared" si="72"/>
        <v>8045455.4399999995</v>
      </c>
      <c r="AD134" s="98"/>
      <c r="AE134" s="98"/>
      <c r="AF134" s="98"/>
    </row>
    <row r="135" spans="1:35" s="82" customFormat="1" ht="25.5" x14ac:dyDescent="0.2">
      <c r="A135" s="92" t="s">
        <v>341</v>
      </c>
      <c r="B135" s="101">
        <v>804</v>
      </c>
      <c r="C135" s="115" t="s">
        <v>323</v>
      </c>
      <c r="D135" s="115" t="s">
        <v>324</v>
      </c>
      <c r="E135" s="115" t="s">
        <v>196</v>
      </c>
      <c r="F135" s="115" t="s">
        <v>246</v>
      </c>
      <c r="G135" s="115" t="s">
        <v>342</v>
      </c>
      <c r="H135" s="133">
        <v>8384.0400000000009</v>
      </c>
      <c r="I135" s="133">
        <f>SUM(J135:M135)</f>
        <v>0</v>
      </c>
      <c r="J135" s="133"/>
      <c r="K135" s="133"/>
      <c r="L135" s="133"/>
      <c r="M135" s="133"/>
      <c r="N135" s="133">
        <f>H135+I135</f>
        <v>8384.0400000000009</v>
      </c>
      <c r="O135" s="133">
        <f>8384.04*80%</f>
        <v>6707.2320000000009</v>
      </c>
      <c r="P135" s="144">
        <f>300000-300000</f>
        <v>0</v>
      </c>
      <c r="Q135" s="133">
        <f>R135+S135+T135+U135</f>
        <v>0</v>
      </c>
      <c r="R135" s="133"/>
      <c r="S135" s="133"/>
      <c r="T135" s="133"/>
      <c r="U135" s="133"/>
      <c r="V135" s="133"/>
      <c r="W135" s="133"/>
      <c r="X135" s="133"/>
      <c r="Y135" s="133"/>
      <c r="Z135" s="133">
        <f t="shared" si="45"/>
        <v>2534286.52</v>
      </c>
      <c r="AA135" s="144">
        <f>1109210.73-51600+1210510.1+9999.99+248240.01+7925.69</f>
        <v>2534286.52</v>
      </c>
      <c r="AB135" s="90">
        <f t="shared" si="69"/>
        <v>0</v>
      </c>
      <c r="AC135" s="144">
        <f>1109210.73-51600+1210510.1+9999.99+248240.01+7925.69</f>
        <v>2534286.52</v>
      </c>
      <c r="AD135" s="81"/>
      <c r="AE135" s="81"/>
      <c r="AF135" s="81"/>
    </row>
    <row r="136" spans="1:35" s="82" customFormat="1" ht="38.25" x14ac:dyDescent="0.2">
      <c r="A136" s="91" t="s">
        <v>343</v>
      </c>
      <c r="B136" s="101">
        <v>804</v>
      </c>
      <c r="C136" s="115" t="s">
        <v>323</v>
      </c>
      <c r="D136" s="115" t="s">
        <v>324</v>
      </c>
      <c r="E136" s="115" t="s">
        <v>196</v>
      </c>
      <c r="F136" s="115" t="s">
        <v>246</v>
      </c>
      <c r="G136" s="115" t="s">
        <v>342</v>
      </c>
      <c r="H136" s="133">
        <v>216000</v>
      </c>
      <c r="I136" s="133">
        <f>SUM(J136:M136)</f>
        <v>0</v>
      </c>
      <c r="J136" s="133">
        <v>0</v>
      </c>
      <c r="K136" s="133">
        <v>0</v>
      </c>
      <c r="L136" s="133">
        <v>0</v>
      </c>
      <c r="M136" s="133">
        <v>0</v>
      </c>
      <c r="N136" s="133">
        <f>H136+I136</f>
        <v>216000</v>
      </c>
      <c r="O136" s="133">
        <f>216000*80%</f>
        <v>172800</v>
      </c>
      <c r="P136" s="144">
        <f>898168.75+191520-300000</f>
        <v>789688.75</v>
      </c>
      <c r="Q136" s="133">
        <f>R136+S136+T136+U136+V136</f>
        <v>0</v>
      </c>
      <c r="R136" s="133">
        <v>0</v>
      </c>
      <c r="S136" s="133"/>
      <c r="T136" s="133"/>
      <c r="U136" s="133">
        <v>0</v>
      </c>
      <c r="V136" s="133"/>
      <c r="W136" s="133"/>
      <c r="X136" s="133">
        <f>P136+Q136</f>
        <v>789688.75</v>
      </c>
      <c r="Y136" s="133" t="s">
        <v>227</v>
      </c>
      <c r="Z136" s="133">
        <f t="shared" ref="Z136:Z202" si="73">AA136-P136</f>
        <v>-56165.689999999944</v>
      </c>
      <c r="AA136" s="144">
        <f>898168.75+191520-300000-56165.69</f>
        <v>733523.06</v>
      </c>
      <c r="AB136" s="90">
        <f t="shared" si="69"/>
        <v>0</v>
      </c>
      <c r="AC136" s="144">
        <f>898168.75+191520-300000-56165.69</f>
        <v>733523.06</v>
      </c>
      <c r="AD136" s="81"/>
      <c r="AE136" s="81"/>
      <c r="AF136" s="81"/>
    </row>
    <row r="137" spans="1:35" s="82" customFormat="1" ht="25.5" x14ac:dyDescent="0.2">
      <c r="A137" s="91" t="s">
        <v>344</v>
      </c>
      <c r="B137" s="101">
        <v>804</v>
      </c>
      <c r="C137" s="115" t="s">
        <v>323</v>
      </c>
      <c r="D137" s="115" t="s">
        <v>324</v>
      </c>
      <c r="E137" s="115" t="s">
        <v>196</v>
      </c>
      <c r="F137" s="115" t="s">
        <v>246</v>
      </c>
      <c r="G137" s="115" t="s">
        <v>342</v>
      </c>
      <c r="H137" s="133">
        <v>0</v>
      </c>
      <c r="I137" s="133">
        <f>SUM(J137:M137)</f>
        <v>0</v>
      </c>
      <c r="J137" s="133">
        <v>0</v>
      </c>
      <c r="K137" s="133">
        <v>0</v>
      </c>
      <c r="L137" s="133">
        <v>0</v>
      </c>
      <c r="M137" s="133">
        <v>0</v>
      </c>
      <c r="N137" s="133">
        <f>H137+I137</f>
        <v>0</v>
      </c>
      <c r="O137" s="133">
        <v>0</v>
      </c>
      <c r="P137" s="144">
        <f>191057.76</f>
        <v>191057.76</v>
      </c>
      <c r="Q137" s="133">
        <f>R137+S137+T137+U137</f>
        <v>0</v>
      </c>
      <c r="R137" s="133"/>
      <c r="S137" s="133"/>
      <c r="T137" s="133">
        <v>0</v>
      </c>
      <c r="U137" s="133"/>
      <c r="V137" s="133"/>
      <c r="W137" s="133"/>
      <c r="X137" s="133">
        <f>P137+Q137</f>
        <v>191057.76</v>
      </c>
      <c r="Y137" s="133"/>
      <c r="Z137" s="133">
        <f t="shared" si="73"/>
        <v>0</v>
      </c>
      <c r="AA137" s="144">
        <f>191057.76</f>
        <v>191057.76</v>
      </c>
      <c r="AB137" s="90">
        <f t="shared" si="69"/>
        <v>0</v>
      </c>
      <c r="AC137" s="144">
        <f>191057.76</f>
        <v>191057.76</v>
      </c>
      <c r="AD137" s="81"/>
      <c r="AE137" s="81"/>
      <c r="AF137" s="81"/>
    </row>
    <row r="138" spans="1:35" s="82" customFormat="1" ht="25.5" x14ac:dyDescent="0.2">
      <c r="A138" s="91" t="s">
        <v>345</v>
      </c>
      <c r="B138" s="101">
        <v>804</v>
      </c>
      <c r="C138" s="115" t="s">
        <v>323</v>
      </c>
      <c r="D138" s="115" t="s">
        <v>324</v>
      </c>
      <c r="E138" s="115" t="s">
        <v>196</v>
      </c>
      <c r="F138" s="115" t="s">
        <v>246</v>
      </c>
      <c r="G138" s="115" t="s">
        <v>248</v>
      </c>
      <c r="H138" s="133">
        <v>0</v>
      </c>
      <c r="I138" s="133">
        <f>SUM(J138:M138)</f>
        <v>50000</v>
      </c>
      <c r="J138" s="133">
        <v>0</v>
      </c>
      <c r="K138" s="133">
        <v>0</v>
      </c>
      <c r="L138" s="133">
        <v>0</v>
      </c>
      <c r="M138" s="133">
        <v>50000</v>
      </c>
      <c r="N138" s="133">
        <f>H138+I138</f>
        <v>50000</v>
      </c>
      <c r="O138" s="133">
        <v>0</v>
      </c>
      <c r="P138" s="144">
        <v>200000</v>
      </c>
      <c r="Q138" s="133"/>
      <c r="R138" s="133"/>
      <c r="S138" s="133"/>
      <c r="T138" s="133"/>
      <c r="U138" s="133"/>
      <c r="V138" s="133"/>
      <c r="W138" s="133"/>
      <c r="X138" s="133"/>
      <c r="Y138" s="133"/>
      <c r="Z138" s="133">
        <f t="shared" si="73"/>
        <v>0</v>
      </c>
      <c r="AA138" s="144">
        <v>200000</v>
      </c>
      <c r="AB138" s="90">
        <f t="shared" si="69"/>
        <v>0</v>
      </c>
      <c r="AC138" s="144">
        <v>200000</v>
      </c>
      <c r="AD138" s="81"/>
      <c r="AE138" s="81"/>
      <c r="AF138" s="81"/>
    </row>
    <row r="139" spans="1:35" s="82" customFormat="1" ht="25.5" x14ac:dyDescent="0.2">
      <c r="A139" s="91" t="s">
        <v>346</v>
      </c>
      <c r="B139" s="101">
        <v>804</v>
      </c>
      <c r="C139" s="115" t="s">
        <v>323</v>
      </c>
      <c r="D139" s="115" t="s">
        <v>324</v>
      </c>
      <c r="E139" s="115" t="s">
        <v>196</v>
      </c>
      <c r="F139" s="115" t="s">
        <v>246</v>
      </c>
      <c r="G139" s="115" t="s">
        <v>248</v>
      </c>
      <c r="H139" s="133">
        <v>0</v>
      </c>
      <c r="I139" s="133">
        <f>SUM(J139:M139)</f>
        <v>50000</v>
      </c>
      <c r="J139" s="133">
        <v>0</v>
      </c>
      <c r="K139" s="133">
        <v>0</v>
      </c>
      <c r="L139" s="133">
        <v>0</v>
      </c>
      <c r="M139" s="133">
        <v>50000</v>
      </c>
      <c r="N139" s="133">
        <f>H139+I139</f>
        <v>50000</v>
      </c>
      <c r="O139" s="133">
        <v>0</v>
      </c>
      <c r="P139" s="144">
        <v>166078</v>
      </c>
      <c r="Q139" s="133"/>
      <c r="R139" s="133"/>
      <c r="S139" s="133"/>
      <c r="T139" s="133"/>
      <c r="U139" s="133"/>
      <c r="V139" s="133"/>
      <c r="W139" s="133"/>
      <c r="X139" s="133"/>
      <c r="Y139" s="133"/>
      <c r="Z139" s="133">
        <f t="shared" si="73"/>
        <v>0</v>
      </c>
      <c r="AA139" s="144">
        <v>166078</v>
      </c>
      <c r="AB139" s="90">
        <f t="shared" si="69"/>
        <v>0</v>
      </c>
      <c r="AC139" s="144">
        <v>166078</v>
      </c>
      <c r="AD139" s="81"/>
      <c r="AE139" s="81"/>
      <c r="AF139" s="81"/>
    </row>
    <row r="140" spans="1:35" s="82" customFormat="1" ht="25.5" x14ac:dyDescent="0.2">
      <c r="A140" s="145" t="s">
        <v>347</v>
      </c>
      <c r="B140" s="146">
        <v>804</v>
      </c>
      <c r="C140" s="138" t="s">
        <v>323</v>
      </c>
      <c r="D140" s="138" t="s">
        <v>324</v>
      </c>
      <c r="E140" s="138" t="s">
        <v>168</v>
      </c>
      <c r="F140" s="138" t="s">
        <v>246</v>
      </c>
      <c r="G140" s="138" t="s">
        <v>342</v>
      </c>
      <c r="H140" s="142"/>
      <c r="I140" s="142"/>
      <c r="J140" s="142"/>
      <c r="K140" s="142"/>
      <c r="L140" s="142"/>
      <c r="M140" s="142"/>
      <c r="N140" s="142"/>
      <c r="O140" s="142"/>
      <c r="P140" s="139">
        <f>P141+P142+P143</f>
        <v>916607.46000000008</v>
      </c>
      <c r="Q140" s="84"/>
      <c r="R140" s="84"/>
      <c r="S140" s="84"/>
      <c r="T140" s="84"/>
      <c r="U140" s="84"/>
      <c r="V140" s="84"/>
      <c r="W140" s="84"/>
      <c r="X140" s="84"/>
      <c r="Y140" s="84"/>
      <c r="Z140" s="79">
        <f t="shared" si="73"/>
        <v>0</v>
      </c>
      <c r="AA140" s="139">
        <f>AA141+AA142+AA143</f>
        <v>916607.46000000008</v>
      </c>
      <c r="AB140" s="139">
        <f t="shared" ref="AB140" si="74">AB141+AB142+AB143</f>
        <v>0</v>
      </c>
      <c r="AC140" s="139">
        <f>AC141+AC142+AC143</f>
        <v>916607.46000000008</v>
      </c>
      <c r="AD140" s="81"/>
      <c r="AE140" s="81"/>
      <c r="AF140" s="81"/>
    </row>
    <row r="141" spans="1:35" s="82" customFormat="1" x14ac:dyDescent="0.2">
      <c r="A141" s="91" t="s">
        <v>348</v>
      </c>
      <c r="B141" s="101">
        <v>804</v>
      </c>
      <c r="C141" s="89" t="s">
        <v>323</v>
      </c>
      <c r="D141" s="89" t="s">
        <v>324</v>
      </c>
      <c r="E141" s="89" t="s">
        <v>196</v>
      </c>
      <c r="F141" s="89" t="s">
        <v>246</v>
      </c>
      <c r="G141" s="89"/>
      <c r="H141" s="84"/>
      <c r="I141" s="84"/>
      <c r="J141" s="84"/>
      <c r="K141" s="84"/>
      <c r="L141" s="84"/>
      <c r="M141" s="84"/>
      <c r="N141" s="84"/>
      <c r="O141" s="84"/>
      <c r="P141" s="90">
        <v>369759.45</v>
      </c>
      <c r="Q141" s="84"/>
      <c r="R141" s="84"/>
      <c r="S141" s="84"/>
      <c r="T141" s="84"/>
      <c r="U141" s="84"/>
      <c r="V141" s="84"/>
      <c r="W141" s="84"/>
      <c r="X141" s="84"/>
      <c r="Y141" s="84"/>
      <c r="Z141" s="84">
        <f t="shared" si="73"/>
        <v>0</v>
      </c>
      <c r="AA141" s="90">
        <v>369759.45</v>
      </c>
      <c r="AB141" s="90">
        <f t="shared" si="69"/>
        <v>0</v>
      </c>
      <c r="AC141" s="90">
        <v>369759.45</v>
      </c>
      <c r="AD141" s="81"/>
      <c r="AE141" s="81"/>
      <c r="AF141" s="81"/>
    </row>
    <row r="142" spans="1:35" s="82" customFormat="1" x14ac:dyDescent="0.2">
      <c r="A142" s="91" t="s">
        <v>333</v>
      </c>
      <c r="B142" s="101">
        <v>804</v>
      </c>
      <c r="C142" s="89" t="s">
        <v>323</v>
      </c>
      <c r="D142" s="89" t="s">
        <v>324</v>
      </c>
      <c r="E142" s="89" t="s">
        <v>196</v>
      </c>
      <c r="F142" s="89" t="s">
        <v>246</v>
      </c>
      <c r="G142" s="89"/>
      <c r="H142" s="84"/>
      <c r="I142" s="84"/>
      <c r="J142" s="84"/>
      <c r="K142" s="84"/>
      <c r="L142" s="84"/>
      <c r="M142" s="84"/>
      <c r="N142" s="84"/>
      <c r="O142" s="84"/>
      <c r="P142" s="90">
        <v>202845.23</v>
      </c>
      <c r="Q142" s="84"/>
      <c r="R142" s="84"/>
      <c r="S142" s="84"/>
      <c r="T142" s="84"/>
      <c r="U142" s="84"/>
      <c r="V142" s="84"/>
      <c r="W142" s="84"/>
      <c r="X142" s="84"/>
      <c r="Y142" s="84"/>
      <c r="Z142" s="84">
        <f t="shared" si="73"/>
        <v>0</v>
      </c>
      <c r="AA142" s="90">
        <v>202845.23</v>
      </c>
      <c r="AB142" s="90">
        <f t="shared" si="69"/>
        <v>0</v>
      </c>
      <c r="AC142" s="90">
        <v>202845.23</v>
      </c>
      <c r="AD142" s="81"/>
      <c r="AE142" s="81"/>
      <c r="AF142" s="81"/>
    </row>
    <row r="143" spans="1:35" s="82" customFormat="1" x14ac:dyDescent="0.2">
      <c r="A143" s="91" t="s">
        <v>334</v>
      </c>
      <c r="B143" s="101">
        <v>804</v>
      </c>
      <c r="C143" s="89" t="s">
        <v>323</v>
      </c>
      <c r="D143" s="89" t="s">
        <v>324</v>
      </c>
      <c r="E143" s="89" t="s">
        <v>196</v>
      </c>
      <c r="F143" s="89" t="s">
        <v>246</v>
      </c>
      <c r="G143" s="89"/>
      <c r="H143" s="84"/>
      <c r="I143" s="84"/>
      <c r="J143" s="84"/>
      <c r="K143" s="84"/>
      <c r="L143" s="84"/>
      <c r="M143" s="84"/>
      <c r="N143" s="84"/>
      <c r="O143" s="84"/>
      <c r="P143" s="90">
        <v>344002.78</v>
      </c>
      <c r="Q143" s="84"/>
      <c r="R143" s="84"/>
      <c r="S143" s="84"/>
      <c r="T143" s="84"/>
      <c r="U143" s="84"/>
      <c r="V143" s="84"/>
      <c r="W143" s="84"/>
      <c r="X143" s="84"/>
      <c r="Y143" s="84"/>
      <c r="Z143" s="84">
        <f t="shared" si="73"/>
        <v>0</v>
      </c>
      <c r="AA143" s="90">
        <v>344002.78</v>
      </c>
      <c r="AB143" s="90">
        <f t="shared" si="69"/>
        <v>0</v>
      </c>
      <c r="AC143" s="90">
        <v>344002.78</v>
      </c>
      <c r="AD143" s="81"/>
      <c r="AE143" s="81"/>
      <c r="AF143" s="81"/>
    </row>
    <row r="144" spans="1:35" s="82" customFormat="1" ht="25.5" x14ac:dyDescent="0.2">
      <c r="A144" s="145" t="s">
        <v>349</v>
      </c>
      <c r="B144" s="146">
        <v>804</v>
      </c>
      <c r="C144" s="138" t="s">
        <v>323</v>
      </c>
      <c r="D144" s="138" t="s">
        <v>324</v>
      </c>
      <c r="E144" s="138" t="s">
        <v>168</v>
      </c>
      <c r="F144" s="138" t="s">
        <v>246</v>
      </c>
      <c r="G144" s="138" t="s">
        <v>342</v>
      </c>
      <c r="H144" s="142"/>
      <c r="I144" s="142"/>
      <c r="J144" s="142"/>
      <c r="K144" s="142"/>
      <c r="L144" s="142"/>
      <c r="M144" s="142"/>
      <c r="N144" s="142"/>
      <c r="O144" s="142"/>
      <c r="P144" s="139">
        <f>P145+P146+P147</f>
        <v>252302.63999999998</v>
      </c>
      <c r="Q144" s="84"/>
      <c r="R144" s="84"/>
      <c r="S144" s="84"/>
      <c r="T144" s="84"/>
      <c r="U144" s="84"/>
      <c r="V144" s="84"/>
      <c r="W144" s="84"/>
      <c r="X144" s="84"/>
      <c r="Y144" s="84"/>
      <c r="Z144" s="79">
        <f t="shared" si="73"/>
        <v>0</v>
      </c>
      <c r="AA144" s="139">
        <f>AA145+AA146+AA147</f>
        <v>252302.63999999998</v>
      </c>
      <c r="AB144" s="139">
        <f t="shared" ref="AB144" si="75">AB145+AB146+AB147</f>
        <v>0</v>
      </c>
      <c r="AC144" s="139">
        <f>AC145+AC146+AC147</f>
        <v>252302.63999999998</v>
      </c>
      <c r="AD144" s="81"/>
      <c r="AE144" s="81"/>
      <c r="AF144" s="81"/>
    </row>
    <row r="145" spans="1:32" s="82" customFormat="1" x14ac:dyDescent="0.2">
      <c r="A145" s="91" t="s">
        <v>348</v>
      </c>
      <c r="B145" s="101">
        <v>804</v>
      </c>
      <c r="C145" s="89" t="s">
        <v>323</v>
      </c>
      <c r="D145" s="89" t="s">
        <v>324</v>
      </c>
      <c r="E145" s="89" t="s">
        <v>196</v>
      </c>
      <c r="F145" s="89" t="s">
        <v>246</v>
      </c>
      <c r="G145" s="89"/>
      <c r="H145" s="84"/>
      <c r="I145" s="84"/>
      <c r="J145" s="84"/>
      <c r="K145" s="84"/>
      <c r="L145" s="84"/>
      <c r="M145" s="84"/>
      <c r="N145" s="84"/>
      <c r="O145" s="84"/>
      <c r="P145" s="90">
        <v>101778.89</v>
      </c>
      <c r="Q145" s="84"/>
      <c r="R145" s="84"/>
      <c r="S145" s="84"/>
      <c r="T145" s="84"/>
      <c r="U145" s="84"/>
      <c r="V145" s="84"/>
      <c r="W145" s="84"/>
      <c r="X145" s="84"/>
      <c r="Y145" s="84"/>
      <c r="Z145" s="84">
        <f t="shared" si="73"/>
        <v>0</v>
      </c>
      <c r="AA145" s="90">
        <v>101778.89</v>
      </c>
      <c r="AB145" s="90">
        <f t="shared" si="69"/>
        <v>0</v>
      </c>
      <c r="AC145" s="90">
        <v>101778.89</v>
      </c>
      <c r="AD145" s="81"/>
      <c r="AE145" s="81"/>
      <c r="AF145" s="81"/>
    </row>
    <row r="146" spans="1:32" s="82" customFormat="1" x14ac:dyDescent="0.2">
      <c r="A146" s="91" t="s">
        <v>333</v>
      </c>
      <c r="B146" s="101">
        <v>804</v>
      </c>
      <c r="C146" s="89" t="s">
        <v>323</v>
      </c>
      <c r="D146" s="89" t="s">
        <v>324</v>
      </c>
      <c r="E146" s="89" t="s">
        <v>196</v>
      </c>
      <c r="F146" s="89" t="s">
        <v>246</v>
      </c>
      <c r="G146" s="89"/>
      <c r="H146" s="84"/>
      <c r="I146" s="84"/>
      <c r="J146" s="84"/>
      <c r="K146" s="84"/>
      <c r="L146" s="84"/>
      <c r="M146" s="84"/>
      <c r="N146" s="84"/>
      <c r="O146" s="84"/>
      <c r="P146" s="90">
        <v>55834.57</v>
      </c>
      <c r="Q146" s="84"/>
      <c r="R146" s="84"/>
      <c r="S146" s="84"/>
      <c r="T146" s="84"/>
      <c r="U146" s="84"/>
      <c r="V146" s="84"/>
      <c r="W146" s="84"/>
      <c r="X146" s="84"/>
      <c r="Y146" s="84"/>
      <c r="Z146" s="84">
        <f t="shared" si="73"/>
        <v>0</v>
      </c>
      <c r="AA146" s="90">
        <v>55834.57</v>
      </c>
      <c r="AB146" s="90">
        <f t="shared" si="69"/>
        <v>0</v>
      </c>
      <c r="AC146" s="90">
        <v>55834.57</v>
      </c>
      <c r="AD146" s="81"/>
      <c r="AE146" s="81"/>
      <c r="AF146" s="81"/>
    </row>
    <row r="147" spans="1:32" s="82" customFormat="1" x14ac:dyDescent="0.2">
      <c r="A147" s="91" t="s">
        <v>334</v>
      </c>
      <c r="B147" s="101">
        <v>804</v>
      </c>
      <c r="C147" s="89" t="s">
        <v>323</v>
      </c>
      <c r="D147" s="89" t="s">
        <v>324</v>
      </c>
      <c r="E147" s="89" t="s">
        <v>196</v>
      </c>
      <c r="F147" s="89" t="s">
        <v>246</v>
      </c>
      <c r="G147" s="89"/>
      <c r="H147" s="84"/>
      <c r="I147" s="84"/>
      <c r="J147" s="84"/>
      <c r="K147" s="84"/>
      <c r="L147" s="84"/>
      <c r="M147" s="84"/>
      <c r="N147" s="84"/>
      <c r="O147" s="84"/>
      <c r="P147" s="90">
        <v>94689.18</v>
      </c>
      <c r="Q147" s="84"/>
      <c r="R147" s="84"/>
      <c r="S147" s="84"/>
      <c r="T147" s="84"/>
      <c r="U147" s="84"/>
      <c r="V147" s="84"/>
      <c r="W147" s="84"/>
      <c r="X147" s="84"/>
      <c r="Y147" s="84"/>
      <c r="Z147" s="84">
        <f t="shared" si="73"/>
        <v>0</v>
      </c>
      <c r="AA147" s="90">
        <v>94689.18</v>
      </c>
      <c r="AB147" s="90">
        <f t="shared" si="69"/>
        <v>0</v>
      </c>
      <c r="AC147" s="90">
        <v>94689.18</v>
      </c>
      <c r="AD147" s="81"/>
      <c r="AE147" s="81"/>
      <c r="AF147" s="81"/>
    </row>
    <row r="148" spans="1:32" s="82" customFormat="1" ht="38.25" x14ac:dyDescent="0.2">
      <c r="A148" s="145" t="s">
        <v>350</v>
      </c>
      <c r="B148" s="146">
        <v>804</v>
      </c>
      <c r="C148" s="138" t="s">
        <v>323</v>
      </c>
      <c r="D148" s="138" t="s">
        <v>324</v>
      </c>
      <c r="E148" s="138" t="s">
        <v>168</v>
      </c>
      <c r="F148" s="138" t="s">
        <v>246</v>
      </c>
      <c r="G148" s="138" t="s">
        <v>342</v>
      </c>
      <c r="H148" s="142"/>
      <c r="I148" s="142"/>
      <c r="J148" s="142"/>
      <c r="K148" s="142"/>
      <c r="L148" s="142"/>
      <c r="M148" s="142"/>
      <c r="N148" s="142"/>
      <c r="O148" s="142"/>
      <c r="P148" s="139">
        <f>P149+P150+P151</f>
        <v>51600</v>
      </c>
      <c r="Q148" s="84"/>
      <c r="R148" s="84"/>
      <c r="S148" s="84"/>
      <c r="T148" s="84"/>
      <c r="U148" s="84"/>
      <c r="V148" s="84"/>
      <c r="W148" s="84"/>
      <c r="X148" s="84"/>
      <c r="Y148" s="84"/>
      <c r="Z148" s="79">
        <f t="shared" si="73"/>
        <v>0</v>
      </c>
      <c r="AA148" s="139">
        <f>AA149+AA150+AA151</f>
        <v>51600</v>
      </c>
      <c r="AB148" s="139">
        <f t="shared" ref="AB148" si="76">AB149+AB150+AB151</f>
        <v>0</v>
      </c>
      <c r="AC148" s="139">
        <f>AC149+AC150+AC151</f>
        <v>51600</v>
      </c>
      <c r="AD148" s="81"/>
      <c r="AE148" s="81"/>
      <c r="AF148" s="81"/>
    </row>
    <row r="149" spans="1:32" s="82" customFormat="1" x14ac:dyDescent="0.2">
      <c r="A149" s="91" t="s">
        <v>348</v>
      </c>
      <c r="B149" s="101">
        <v>804</v>
      </c>
      <c r="C149" s="89" t="s">
        <v>323</v>
      </c>
      <c r="D149" s="89" t="s">
        <v>324</v>
      </c>
      <c r="E149" s="89" t="s">
        <v>196</v>
      </c>
      <c r="F149" s="89" t="s">
        <v>246</v>
      </c>
      <c r="G149" s="89"/>
      <c r="H149" s="84"/>
      <c r="I149" s="84"/>
      <c r="J149" s="84"/>
      <c r="K149" s="84"/>
      <c r="L149" s="84"/>
      <c r="M149" s="84"/>
      <c r="N149" s="84"/>
      <c r="O149" s="84"/>
      <c r="P149" s="90">
        <v>20815.439999999999</v>
      </c>
      <c r="Q149" s="84"/>
      <c r="R149" s="84"/>
      <c r="S149" s="84"/>
      <c r="T149" s="84"/>
      <c r="U149" s="84"/>
      <c r="V149" s="84"/>
      <c r="W149" s="84"/>
      <c r="X149" s="84"/>
      <c r="Y149" s="84"/>
      <c r="Z149" s="84">
        <f t="shared" si="73"/>
        <v>0</v>
      </c>
      <c r="AA149" s="90">
        <v>20815.439999999999</v>
      </c>
      <c r="AB149" s="90">
        <f t="shared" si="69"/>
        <v>0</v>
      </c>
      <c r="AC149" s="90">
        <v>20815.439999999999</v>
      </c>
      <c r="AD149" s="81"/>
      <c r="AE149" s="81"/>
      <c r="AF149" s="81"/>
    </row>
    <row r="150" spans="1:32" s="82" customFormat="1" x14ac:dyDescent="0.2">
      <c r="A150" s="91" t="s">
        <v>333</v>
      </c>
      <c r="B150" s="101">
        <v>804</v>
      </c>
      <c r="C150" s="89" t="s">
        <v>323</v>
      </c>
      <c r="D150" s="89" t="s">
        <v>324</v>
      </c>
      <c r="E150" s="89" t="s">
        <v>196</v>
      </c>
      <c r="F150" s="89" t="s">
        <v>246</v>
      </c>
      <c r="G150" s="89"/>
      <c r="H150" s="84"/>
      <c r="I150" s="84"/>
      <c r="J150" s="84"/>
      <c r="K150" s="84"/>
      <c r="L150" s="84"/>
      <c r="M150" s="84"/>
      <c r="N150" s="84"/>
      <c r="O150" s="84"/>
      <c r="P150" s="90">
        <v>11419.08</v>
      </c>
      <c r="Q150" s="84"/>
      <c r="R150" s="84"/>
      <c r="S150" s="84"/>
      <c r="T150" s="84"/>
      <c r="U150" s="84"/>
      <c r="V150" s="84"/>
      <c r="W150" s="84"/>
      <c r="X150" s="84"/>
      <c r="Y150" s="84"/>
      <c r="Z150" s="84">
        <f t="shared" si="73"/>
        <v>0</v>
      </c>
      <c r="AA150" s="90">
        <v>11419.08</v>
      </c>
      <c r="AB150" s="90">
        <f t="shared" si="69"/>
        <v>0</v>
      </c>
      <c r="AC150" s="90">
        <v>11419.08</v>
      </c>
      <c r="AD150" s="81"/>
      <c r="AE150" s="81"/>
      <c r="AF150" s="81"/>
    </row>
    <row r="151" spans="1:32" s="82" customFormat="1" x14ac:dyDescent="0.2">
      <c r="A151" s="91" t="s">
        <v>334</v>
      </c>
      <c r="B151" s="101">
        <v>804</v>
      </c>
      <c r="C151" s="89" t="s">
        <v>323</v>
      </c>
      <c r="D151" s="89" t="s">
        <v>324</v>
      </c>
      <c r="E151" s="89" t="s">
        <v>196</v>
      </c>
      <c r="F151" s="89" t="s">
        <v>246</v>
      </c>
      <c r="G151" s="89"/>
      <c r="H151" s="84"/>
      <c r="I151" s="84"/>
      <c r="J151" s="84"/>
      <c r="K151" s="84"/>
      <c r="L151" s="84"/>
      <c r="M151" s="84"/>
      <c r="N151" s="84"/>
      <c r="O151" s="84"/>
      <c r="P151" s="90">
        <v>19365.48</v>
      </c>
      <c r="Q151" s="84"/>
      <c r="R151" s="84"/>
      <c r="S151" s="84"/>
      <c r="T151" s="84"/>
      <c r="U151" s="84"/>
      <c r="V151" s="84"/>
      <c r="W151" s="84"/>
      <c r="X151" s="84"/>
      <c r="Y151" s="84"/>
      <c r="Z151" s="84">
        <f t="shared" si="73"/>
        <v>0</v>
      </c>
      <c r="AA151" s="90">
        <v>19365.48</v>
      </c>
      <c r="AB151" s="90">
        <f t="shared" si="69"/>
        <v>0</v>
      </c>
      <c r="AC151" s="90">
        <v>19365.48</v>
      </c>
      <c r="AD151" s="81"/>
      <c r="AE151" s="81"/>
      <c r="AF151" s="81"/>
    </row>
    <row r="152" spans="1:32" s="82" customFormat="1" ht="38.25" x14ac:dyDescent="0.2">
      <c r="A152" s="171" t="s">
        <v>587</v>
      </c>
      <c r="B152" s="130">
        <v>804</v>
      </c>
      <c r="C152" s="78" t="s">
        <v>323</v>
      </c>
      <c r="D152" s="78" t="s">
        <v>324</v>
      </c>
      <c r="E152" s="78" t="s">
        <v>196</v>
      </c>
      <c r="F152" s="78" t="s">
        <v>246</v>
      </c>
      <c r="G152" s="78" t="s">
        <v>378</v>
      </c>
      <c r="H152" s="79">
        <v>50000</v>
      </c>
      <c r="I152" s="79">
        <f>SUM(J152:M152)</f>
        <v>21300</v>
      </c>
      <c r="J152" s="79">
        <v>1300</v>
      </c>
      <c r="K152" s="79">
        <v>0</v>
      </c>
      <c r="L152" s="79">
        <v>0</v>
      </c>
      <c r="M152" s="79">
        <v>20000</v>
      </c>
      <c r="N152" s="79">
        <f>H152+I152</f>
        <v>71300</v>
      </c>
      <c r="O152" s="79">
        <f>50000*80%</f>
        <v>40000</v>
      </c>
      <c r="P152" s="80">
        <f>10000</f>
        <v>10000</v>
      </c>
      <c r="Q152" s="79">
        <f>R152+S152+T152+U152+V152</f>
        <v>0</v>
      </c>
      <c r="R152" s="79">
        <v>0</v>
      </c>
      <c r="S152" s="79">
        <v>0</v>
      </c>
      <c r="T152" s="79"/>
      <c r="U152" s="79">
        <v>0</v>
      </c>
      <c r="V152" s="79"/>
      <c r="W152" s="79"/>
      <c r="X152" s="79">
        <f>P152+Q152</f>
        <v>10000</v>
      </c>
      <c r="Y152" s="79" t="s">
        <v>227</v>
      </c>
      <c r="Z152" s="79">
        <f t="shared" ref="Z152" si="77">AA152-P152</f>
        <v>2990000</v>
      </c>
      <c r="AA152" s="80">
        <v>3000000</v>
      </c>
      <c r="AB152" s="80">
        <f t="shared" si="69"/>
        <v>0</v>
      </c>
      <c r="AC152" s="80">
        <v>3000000</v>
      </c>
      <c r="AD152" s="81"/>
      <c r="AE152" s="81"/>
      <c r="AF152" s="81"/>
    </row>
    <row r="153" spans="1:32" s="99" customFormat="1" x14ac:dyDescent="0.2">
      <c r="A153" s="76" t="s">
        <v>255</v>
      </c>
      <c r="B153" s="130">
        <v>804</v>
      </c>
      <c r="C153" s="78" t="s">
        <v>323</v>
      </c>
      <c r="D153" s="78" t="s">
        <v>324</v>
      </c>
      <c r="E153" s="78" t="s">
        <v>168</v>
      </c>
      <c r="F153" s="78" t="s">
        <v>187</v>
      </c>
      <c r="G153" s="78" t="s">
        <v>168</v>
      </c>
      <c r="H153" s="79">
        <f t="shared" ref="H153:O153" si="78">SUM(H154:H160)</f>
        <v>894827.24</v>
      </c>
      <c r="I153" s="79">
        <f t="shared" si="78"/>
        <v>346862.05</v>
      </c>
      <c r="J153" s="79">
        <f t="shared" si="78"/>
        <v>40862.050000000003</v>
      </c>
      <c r="K153" s="79">
        <f t="shared" si="78"/>
        <v>0</v>
      </c>
      <c r="L153" s="79">
        <f t="shared" si="78"/>
        <v>0</v>
      </c>
      <c r="M153" s="79">
        <f t="shared" si="78"/>
        <v>306000</v>
      </c>
      <c r="N153" s="79">
        <f t="shared" si="78"/>
        <v>1241689.29</v>
      </c>
      <c r="O153" s="79">
        <f t="shared" si="78"/>
        <v>715861.79200000002</v>
      </c>
      <c r="P153" s="80">
        <f>P154+P159+P160</f>
        <v>166177.20000000001</v>
      </c>
      <c r="Q153" s="80">
        <f t="shared" ref="Q153:Y153" si="79">SUM(Q154:Q160)</f>
        <v>0</v>
      </c>
      <c r="R153" s="80">
        <f t="shared" si="79"/>
        <v>0</v>
      </c>
      <c r="S153" s="80">
        <f t="shared" si="79"/>
        <v>0</v>
      </c>
      <c r="T153" s="80">
        <f t="shared" si="79"/>
        <v>0</v>
      </c>
      <c r="U153" s="80">
        <f t="shared" si="79"/>
        <v>0</v>
      </c>
      <c r="V153" s="80">
        <f t="shared" si="79"/>
        <v>0</v>
      </c>
      <c r="W153" s="80">
        <f t="shared" si="79"/>
        <v>0</v>
      </c>
      <c r="X153" s="80">
        <f t="shared" si="79"/>
        <v>0</v>
      </c>
      <c r="Y153" s="80" t="e">
        <f t="shared" si="79"/>
        <v>#VALUE!</v>
      </c>
      <c r="Z153" s="80">
        <f t="shared" si="73"/>
        <v>172968.09999999998</v>
      </c>
      <c r="AA153" s="80">
        <f t="shared" ref="AA153:AB153" si="80">AA154+AA159+AA160+AA155</f>
        <v>339145.3</v>
      </c>
      <c r="AB153" s="80">
        <f t="shared" si="80"/>
        <v>339145.3</v>
      </c>
      <c r="AC153" s="80">
        <f>AC154+AC159+AC160+AC155</f>
        <v>339145.3</v>
      </c>
      <c r="AD153" s="98"/>
      <c r="AE153" s="98"/>
      <c r="AF153" s="98"/>
    </row>
    <row r="154" spans="1:32" s="82" customFormat="1" ht="63.75" x14ac:dyDescent="0.2">
      <c r="A154" s="147" t="s">
        <v>351</v>
      </c>
      <c r="B154" s="146">
        <v>804</v>
      </c>
      <c r="C154" s="138" t="s">
        <v>323</v>
      </c>
      <c r="D154" s="138" t="s">
        <v>324</v>
      </c>
      <c r="E154" s="138" t="s">
        <v>196</v>
      </c>
      <c r="F154" s="138" t="s">
        <v>187</v>
      </c>
      <c r="G154" s="138"/>
      <c r="H154" s="142">
        <v>840327.24</v>
      </c>
      <c r="I154" s="142">
        <f>SUM(J154:M154)</f>
        <v>295000</v>
      </c>
      <c r="J154" s="142">
        <v>5000</v>
      </c>
      <c r="K154" s="142">
        <v>0</v>
      </c>
      <c r="L154" s="142">
        <v>0</v>
      </c>
      <c r="M154" s="142">
        <v>290000</v>
      </c>
      <c r="N154" s="142">
        <f>H154+I154</f>
        <v>1135327.24</v>
      </c>
      <c r="O154" s="142">
        <f>840327.24*80%</f>
        <v>672261.79200000002</v>
      </c>
      <c r="P154" s="139">
        <f t="shared" ref="P154:Y154" si="81">P156+P157+P158+P159+P160</f>
        <v>166177.20000000001</v>
      </c>
      <c r="Q154" s="139">
        <f t="shared" si="81"/>
        <v>0</v>
      </c>
      <c r="R154" s="139">
        <f t="shared" si="81"/>
        <v>0</v>
      </c>
      <c r="S154" s="139">
        <f t="shared" si="81"/>
        <v>0</v>
      </c>
      <c r="T154" s="139">
        <f t="shared" si="81"/>
        <v>0</v>
      </c>
      <c r="U154" s="139">
        <f t="shared" si="81"/>
        <v>0</v>
      </c>
      <c r="V154" s="139">
        <f t="shared" si="81"/>
        <v>0</v>
      </c>
      <c r="W154" s="139">
        <f t="shared" si="81"/>
        <v>0</v>
      </c>
      <c r="X154" s="139">
        <f t="shared" si="81"/>
        <v>0</v>
      </c>
      <c r="Y154" s="139" t="e">
        <f t="shared" si="81"/>
        <v>#VALUE!</v>
      </c>
      <c r="Z154" s="139">
        <f t="shared" si="73"/>
        <v>-7057.2000000000116</v>
      </c>
      <c r="AA154" s="139">
        <v>159120</v>
      </c>
      <c r="AB154" s="139">
        <v>159120</v>
      </c>
      <c r="AC154" s="139">
        <v>159120</v>
      </c>
      <c r="AD154" s="81"/>
      <c r="AE154" s="81"/>
      <c r="AF154" s="81"/>
    </row>
    <row r="155" spans="1:32" s="99" customFormat="1" ht="25.5" x14ac:dyDescent="0.2">
      <c r="A155" s="148" t="s">
        <v>352</v>
      </c>
      <c r="B155" s="77">
        <v>804</v>
      </c>
      <c r="C155" s="78" t="s">
        <v>323</v>
      </c>
      <c r="D155" s="78" t="s">
        <v>324</v>
      </c>
      <c r="E155" s="78" t="s">
        <v>196</v>
      </c>
      <c r="F155" s="78" t="s">
        <v>187</v>
      </c>
      <c r="G155" s="78" t="s">
        <v>353</v>
      </c>
      <c r="H155" s="79"/>
      <c r="I155" s="79"/>
      <c r="J155" s="79"/>
      <c r="K155" s="79"/>
      <c r="L155" s="79"/>
      <c r="M155" s="79"/>
      <c r="N155" s="79"/>
      <c r="O155" s="79"/>
      <c r="P155" s="80">
        <v>0</v>
      </c>
      <c r="Q155" s="79">
        <f>R155+S155+T155+U155</f>
        <v>0</v>
      </c>
      <c r="R155" s="79"/>
      <c r="S155" s="79"/>
      <c r="T155" s="79">
        <v>0</v>
      </c>
      <c r="U155" s="79"/>
      <c r="V155" s="79"/>
      <c r="W155" s="79"/>
      <c r="X155" s="79">
        <f>P155+Q155</f>
        <v>0</v>
      </c>
      <c r="Y155" s="79"/>
      <c r="Z155" s="79">
        <f t="shared" si="73"/>
        <v>180025.3</v>
      </c>
      <c r="AA155" s="80">
        <v>180025.3</v>
      </c>
      <c r="AB155" s="80">
        <v>180025.3</v>
      </c>
      <c r="AC155" s="80">
        <v>180025.3</v>
      </c>
      <c r="AD155" s="98"/>
      <c r="AE155" s="98"/>
      <c r="AF155" s="98"/>
    </row>
    <row r="156" spans="1:32" s="82" customFormat="1" x14ac:dyDescent="0.2">
      <c r="A156" s="91" t="s">
        <v>348</v>
      </c>
      <c r="B156" s="88">
        <v>804</v>
      </c>
      <c r="C156" s="89" t="s">
        <v>323</v>
      </c>
      <c r="D156" s="89" t="s">
        <v>324</v>
      </c>
      <c r="E156" s="89" t="s">
        <v>196</v>
      </c>
      <c r="F156" s="89" t="s">
        <v>187</v>
      </c>
      <c r="G156" s="89"/>
      <c r="H156" s="84"/>
      <c r="I156" s="84"/>
      <c r="J156" s="84"/>
      <c r="K156" s="84"/>
      <c r="L156" s="84"/>
      <c r="M156" s="84"/>
      <c r="N156" s="84"/>
      <c r="O156" s="84"/>
      <c r="P156" s="90">
        <v>67035.89</v>
      </c>
      <c r="Q156" s="84"/>
      <c r="R156" s="84"/>
      <c r="S156" s="84"/>
      <c r="T156" s="84"/>
      <c r="U156" s="84"/>
      <c r="V156" s="84"/>
      <c r="W156" s="84"/>
      <c r="X156" s="84"/>
      <c r="Y156" s="84"/>
      <c r="Z156" s="84">
        <f t="shared" si="73"/>
        <v>-7057.1999999999971</v>
      </c>
      <c r="AA156" s="90">
        <f>67035.89-7057.2</f>
        <v>59978.69</v>
      </c>
      <c r="AB156" s="90">
        <f t="shared" ref="AB156:AB158" si="82">AC156-AA156</f>
        <v>0</v>
      </c>
      <c r="AC156" s="90">
        <f>67035.89-7057.2</f>
        <v>59978.69</v>
      </c>
      <c r="AD156" s="81"/>
      <c r="AE156" s="81"/>
      <c r="AF156" s="81"/>
    </row>
    <row r="157" spans="1:32" s="82" customFormat="1" x14ac:dyDescent="0.2">
      <c r="A157" s="91" t="s">
        <v>333</v>
      </c>
      <c r="B157" s="88">
        <v>804</v>
      </c>
      <c r="C157" s="89" t="s">
        <v>323</v>
      </c>
      <c r="D157" s="89" t="s">
        <v>324</v>
      </c>
      <c r="E157" s="89" t="s">
        <v>196</v>
      </c>
      <c r="F157" s="89" t="s">
        <v>187</v>
      </c>
      <c r="G157" s="89"/>
      <c r="H157" s="84"/>
      <c r="I157" s="84"/>
      <c r="J157" s="84"/>
      <c r="K157" s="84"/>
      <c r="L157" s="84"/>
      <c r="M157" s="84"/>
      <c r="N157" s="84"/>
      <c r="O157" s="84"/>
      <c r="P157" s="90">
        <v>36775.01</v>
      </c>
      <c r="Q157" s="84"/>
      <c r="R157" s="84"/>
      <c r="S157" s="84"/>
      <c r="T157" s="84"/>
      <c r="U157" s="84"/>
      <c r="V157" s="84"/>
      <c r="W157" s="84"/>
      <c r="X157" s="84"/>
      <c r="Y157" s="84"/>
      <c r="Z157" s="84">
        <f t="shared" si="73"/>
        <v>0</v>
      </c>
      <c r="AA157" s="90">
        <v>36775.01</v>
      </c>
      <c r="AB157" s="90">
        <f t="shared" si="82"/>
        <v>0</v>
      </c>
      <c r="AC157" s="90">
        <v>36775.01</v>
      </c>
      <c r="AD157" s="81"/>
      <c r="AE157" s="81"/>
      <c r="AF157" s="81"/>
    </row>
    <row r="158" spans="1:32" s="82" customFormat="1" x14ac:dyDescent="0.2">
      <c r="A158" s="91" t="s">
        <v>334</v>
      </c>
      <c r="B158" s="88">
        <v>804</v>
      </c>
      <c r="C158" s="89" t="s">
        <v>323</v>
      </c>
      <c r="D158" s="89" t="s">
        <v>324</v>
      </c>
      <c r="E158" s="89" t="s">
        <v>196</v>
      </c>
      <c r="F158" s="89" t="s">
        <v>187</v>
      </c>
      <c r="G158" s="89"/>
      <c r="H158" s="84"/>
      <c r="I158" s="84"/>
      <c r="J158" s="84"/>
      <c r="K158" s="84"/>
      <c r="L158" s="84"/>
      <c r="M158" s="84"/>
      <c r="N158" s="84"/>
      <c r="O158" s="84"/>
      <c r="P158" s="90">
        <v>62366.3</v>
      </c>
      <c r="Q158" s="84"/>
      <c r="R158" s="84"/>
      <c r="S158" s="84"/>
      <c r="T158" s="84"/>
      <c r="U158" s="84"/>
      <c r="V158" s="84"/>
      <c r="W158" s="84"/>
      <c r="X158" s="84"/>
      <c r="Y158" s="84"/>
      <c r="Z158" s="84">
        <f t="shared" si="73"/>
        <v>0</v>
      </c>
      <c r="AA158" s="90">
        <v>62366.3</v>
      </c>
      <c r="AB158" s="90">
        <f t="shared" si="82"/>
        <v>0</v>
      </c>
      <c r="AC158" s="90">
        <v>62366.3</v>
      </c>
      <c r="AD158" s="81"/>
      <c r="AE158" s="81"/>
      <c r="AF158" s="81"/>
    </row>
    <row r="159" spans="1:32" s="82" customFormat="1" hidden="1" x14ac:dyDescent="0.2">
      <c r="A159" s="91" t="s">
        <v>354</v>
      </c>
      <c r="B159" s="101"/>
      <c r="C159" s="89"/>
      <c r="D159" s="89"/>
      <c r="E159" s="89"/>
      <c r="F159" s="89" t="s">
        <v>187</v>
      </c>
      <c r="G159" s="89"/>
      <c r="H159" s="84">
        <v>4500</v>
      </c>
      <c r="I159" s="84">
        <f>SUM(J159:M159)</f>
        <v>31920</v>
      </c>
      <c r="J159" s="84">
        <v>15920</v>
      </c>
      <c r="K159" s="84">
        <v>0</v>
      </c>
      <c r="L159" s="84">
        <v>0</v>
      </c>
      <c r="M159" s="84">
        <v>16000</v>
      </c>
      <c r="N159" s="84">
        <f>H159+I159</f>
        <v>36420</v>
      </c>
      <c r="O159" s="84">
        <f>4500*80%</f>
        <v>3600</v>
      </c>
      <c r="P159" s="90">
        <v>0</v>
      </c>
      <c r="Q159" s="84">
        <f>R159+S159+T159+U159+V159</f>
        <v>0</v>
      </c>
      <c r="R159" s="84">
        <v>0</v>
      </c>
      <c r="S159" s="84">
        <v>0</v>
      </c>
      <c r="T159" s="84">
        <v>0</v>
      </c>
      <c r="U159" s="84">
        <v>0</v>
      </c>
      <c r="V159" s="84"/>
      <c r="W159" s="84"/>
      <c r="X159" s="84">
        <f>P159+Q159</f>
        <v>0</v>
      </c>
      <c r="Y159" s="84" t="s">
        <v>227</v>
      </c>
      <c r="Z159" s="84">
        <f t="shared" si="73"/>
        <v>0</v>
      </c>
      <c r="AA159" s="90">
        <v>0</v>
      </c>
      <c r="AB159" s="90"/>
      <c r="AC159" s="90">
        <v>0</v>
      </c>
      <c r="AD159" s="81"/>
      <c r="AE159" s="81"/>
      <c r="AF159" s="81"/>
    </row>
    <row r="160" spans="1:32" s="82" customFormat="1" hidden="1" x14ac:dyDescent="0.2">
      <c r="A160" s="91" t="s">
        <v>355</v>
      </c>
      <c r="B160" s="101"/>
      <c r="C160" s="89"/>
      <c r="D160" s="89"/>
      <c r="E160" s="89"/>
      <c r="F160" s="89" t="s">
        <v>187</v>
      </c>
      <c r="G160" s="89"/>
      <c r="H160" s="84">
        <v>50000</v>
      </c>
      <c r="I160" s="84">
        <f>SUM(J160:M160)</f>
        <v>19942.05</v>
      </c>
      <c r="J160" s="84">
        <v>19942.05</v>
      </c>
      <c r="K160" s="84">
        <v>0</v>
      </c>
      <c r="L160" s="84">
        <v>0</v>
      </c>
      <c r="M160" s="84">
        <v>0</v>
      </c>
      <c r="N160" s="84">
        <f>H160+I160</f>
        <v>69942.05</v>
      </c>
      <c r="O160" s="84">
        <f>50000*80%</f>
        <v>40000</v>
      </c>
      <c r="P160" s="90">
        <v>0</v>
      </c>
      <c r="Q160" s="84">
        <f>R160+S160+T160+U160+V160</f>
        <v>0</v>
      </c>
      <c r="R160" s="84"/>
      <c r="S160" s="84"/>
      <c r="T160" s="84"/>
      <c r="U160" s="84"/>
      <c r="V160" s="84"/>
      <c r="W160" s="84"/>
      <c r="X160" s="84">
        <f>P160+Q160</f>
        <v>0</v>
      </c>
      <c r="Y160" s="84"/>
      <c r="Z160" s="84">
        <f t="shared" si="73"/>
        <v>0</v>
      </c>
      <c r="AA160" s="90">
        <v>0</v>
      </c>
      <c r="AB160" s="90"/>
      <c r="AC160" s="90">
        <v>0</v>
      </c>
      <c r="AD160" s="81"/>
      <c r="AE160" s="81"/>
      <c r="AF160" s="81"/>
    </row>
    <row r="161" spans="1:32" s="82" customFormat="1" x14ac:dyDescent="0.2">
      <c r="A161" s="76" t="s">
        <v>275</v>
      </c>
      <c r="B161" s="77">
        <v>804</v>
      </c>
      <c r="C161" s="78" t="s">
        <v>323</v>
      </c>
      <c r="D161" s="78" t="s">
        <v>167</v>
      </c>
      <c r="E161" s="78" t="s">
        <v>168</v>
      </c>
      <c r="F161" s="78" t="s">
        <v>276</v>
      </c>
      <c r="G161" s="78" t="s">
        <v>340</v>
      </c>
      <c r="H161" s="79">
        <f t="shared" ref="H161:O161" si="83">SUM(H162:H162)</f>
        <v>15503.35</v>
      </c>
      <c r="I161" s="79">
        <f t="shared" si="83"/>
        <v>-60</v>
      </c>
      <c r="J161" s="79">
        <f t="shared" si="83"/>
        <v>-60</v>
      </c>
      <c r="K161" s="79">
        <f t="shared" si="83"/>
        <v>0</v>
      </c>
      <c r="L161" s="79">
        <f t="shared" si="83"/>
        <v>0</v>
      </c>
      <c r="M161" s="79">
        <f t="shared" si="83"/>
        <v>0</v>
      </c>
      <c r="N161" s="79">
        <f t="shared" si="83"/>
        <v>15443.35</v>
      </c>
      <c r="O161" s="79">
        <f t="shared" si="83"/>
        <v>15503.35</v>
      </c>
      <c r="P161" s="80">
        <f t="shared" ref="P161:V161" si="84">SUM(P162:P163)</f>
        <v>27600</v>
      </c>
      <c r="Q161" s="80">
        <f t="shared" si="84"/>
        <v>0</v>
      </c>
      <c r="R161" s="80">
        <f t="shared" si="84"/>
        <v>0</v>
      </c>
      <c r="S161" s="80">
        <f t="shared" si="84"/>
        <v>0</v>
      </c>
      <c r="T161" s="80">
        <f t="shared" si="84"/>
        <v>0</v>
      </c>
      <c r="U161" s="80">
        <f t="shared" si="84"/>
        <v>0</v>
      </c>
      <c r="V161" s="80">
        <f t="shared" si="84"/>
        <v>0</v>
      </c>
      <c r="W161" s="80"/>
      <c r="X161" s="80">
        <f>SUM(X162:X163)</f>
        <v>27600</v>
      </c>
      <c r="Y161" s="84"/>
      <c r="Z161" s="79">
        <f t="shared" si="73"/>
        <v>300000</v>
      </c>
      <c r="AA161" s="80">
        <f>SUM(AA163:AA166)</f>
        <v>327600</v>
      </c>
      <c r="AB161" s="80">
        <f t="shared" ref="AB161:AC161" si="85">SUM(AB163:AB166)</f>
        <v>0</v>
      </c>
      <c r="AC161" s="80">
        <f t="shared" si="85"/>
        <v>327600</v>
      </c>
      <c r="AD161" s="81"/>
      <c r="AE161" s="81"/>
      <c r="AF161" s="81"/>
    </row>
    <row r="162" spans="1:32" s="82" customFormat="1" ht="25.5" hidden="1" x14ac:dyDescent="0.2">
      <c r="A162" s="87" t="s">
        <v>356</v>
      </c>
      <c r="B162" s="88"/>
      <c r="C162" s="89"/>
      <c r="D162" s="78"/>
      <c r="E162" s="89" t="s">
        <v>278</v>
      </c>
      <c r="F162" s="89" t="s">
        <v>357</v>
      </c>
      <c r="G162" s="89" t="s">
        <v>279</v>
      </c>
      <c r="H162" s="84">
        <v>15503.35</v>
      </c>
      <c r="I162" s="84">
        <f>SUM(J162:M162)</f>
        <v>-60</v>
      </c>
      <c r="J162" s="84">
        <v>-60</v>
      </c>
      <c r="K162" s="84">
        <v>0</v>
      </c>
      <c r="L162" s="84">
        <v>0</v>
      </c>
      <c r="M162" s="84">
        <v>0</v>
      </c>
      <c r="N162" s="84">
        <f>H162+I162</f>
        <v>15443.35</v>
      </c>
      <c r="O162" s="84">
        <v>15503.35</v>
      </c>
      <c r="P162" s="90">
        <v>0</v>
      </c>
      <c r="Q162" s="84">
        <f>R162+S162+T162+U162+V162</f>
        <v>0</v>
      </c>
      <c r="R162" s="84">
        <v>0</v>
      </c>
      <c r="S162" s="79"/>
      <c r="T162" s="79"/>
      <c r="U162" s="84">
        <v>0</v>
      </c>
      <c r="V162" s="84"/>
      <c r="W162" s="84"/>
      <c r="X162" s="84">
        <f>P162+Q162</f>
        <v>0</v>
      </c>
      <c r="Y162" s="84"/>
      <c r="Z162" s="84">
        <f t="shared" si="73"/>
        <v>0</v>
      </c>
      <c r="AA162" s="90">
        <v>0</v>
      </c>
      <c r="AB162" s="90"/>
      <c r="AC162" s="90">
        <v>0</v>
      </c>
      <c r="AD162" s="81"/>
      <c r="AE162" s="81"/>
      <c r="AF162" s="81"/>
    </row>
    <row r="163" spans="1:32" s="82" customFormat="1" x14ac:dyDescent="0.2">
      <c r="A163" s="87" t="s">
        <v>280</v>
      </c>
      <c r="B163" s="71" t="s">
        <v>289</v>
      </c>
      <c r="C163" s="89" t="s">
        <v>323</v>
      </c>
      <c r="D163" s="89" t="s">
        <v>358</v>
      </c>
      <c r="E163" s="89" t="s">
        <v>281</v>
      </c>
      <c r="F163" s="89" t="s">
        <v>357</v>
      </c>
      <c r="G163" s="89" t="s">
        <v>279</v>
      </c>
      <c r="H163" s="84">
        <v>20000</v>
      </c>
      <c r="I163" s="84">
        <f>SUM(J163:M163)</f>
        <v>0</v>
      </c>
      <c r="J163" s="84"/>
      <c r="K163" s="84"/>
      <c r="L163" s="84"/>
      <c r="M163" s="84"/>
      <c r="N163" s="84">
        <f>H163+I163</f>
        <v>20000</v>
      </c>
      <c r="O163" s="84">
        <v>20000</v>
      </c>
      <c r="P163" s="90">
        <v>27600</v>
      </c>
      <c r="Q163" s="84">
        <f>R163+S163+T163+U163+V163</f>
        <v>0</v>
      </c>
      <c r="R163" s="84"/>
      <c r="S163" s="79"/>
      <c r="T163" s="79"/>
      <c r="U163" s="84">
        <v>0</v>
      </c>
      <c r="V163" s="84"/>
      <c r="W163" s="84"/>
      <c r="X163" s="84">
        <f>P163+Q163</f>
        <v>27600</v>
      </c>
      <c r="Y163" s="84"/>
      <c r="Z163" s="84">
        <f t="shared" si="73"/>
        <v>0</v>
      </c>
      <c r="AA163" s="90">
        <v>27600</v>
      </c>
      <c r="AB163" s="90">
        <f t="shared" ref="AB163:AB172" si="86">AC163-AA163</f>
        <v>0</v>
      </c>
      <c r="AC163" s="90">
        <v>27600</v>
      </c>
      <c r="AD163" s="81"/>
      <c r="AE163" s="81"/>
      <c r="AF163" s="81"/>
    </row>
    <row r="164" spans="1:32" s="82" customFormat="1" hidden="1" x14ac:dyDescent="0.2">
      <c r="A164" s="83" t="s">
        <v>198</v>
      </c>
      <c r="B164" s="149">
        <v>804</v>
      </c>
      <c r="C164" s="78" t="s">
        <v>323</v>
      </c>
      <c r="D164" s="78" t="s">
        <v>324</v>
      </c>
      <c r="E164" s="78" t="s">
        <v>233</v>
      </c>
      <c r="F164" s="78" t="s">
        <v>197</v>
      </c>
      <c r="G164" s="78" t="s">
        <v>340</v>
      </c>
      <c r="H164" s="79">
        <f t="shared" ref="H164:P164" si="87">SUM(H165:H165)</f>
        <v>0</v>
      </c>
      <c r="I164" s="79">
        <f t="shared" si="87"/>
        <v>0</v>
      </c>
      <c r="J164" s="79">
        <f t="shared" si="87"/>
        <v>0</v>
      </c>
      <c r="K164" s="79">
        <f t="shared" si="87"/>
        <v>0</v>
      </c>
      <c r="L164" s="79">
        <f t="shared" si="87"/>
        <v>0</v>
      </c>
      <c r="M164" s="79">
        <f t="shared" si="87"/>
        <v>0</v>
      </c>
      <c r="N164" s="79">
        <f t="shared" si="87"/>
        <v>0</v>
      </c>
      <c r="O164" s="79">
        <f t="shared" si="87"/>
        <v>0</v>
      </c>
      <c r="P164" s="80">
        <f t="shared" si="87"/>
        <v>0</v>
      </c>
      <c r="Q164" s="79"/>
      <c r="R164" s="79"/>
      <c r="S164" s="79"/>
      <c r="T164" s="79"/>
      <c r="U164" s="79"/>
      <c r="V164" s="79"/>
      <c r="W164" s="79"/>
      <c r="X164" s="84"/>
      <c r="Y164" s="84"/>
      <c r="Z164" s="84">
        <f t="shared" si="73"/>
        <v>0</v>
      </c>
      <c r="AA164" s="80">
        <f>SUM(AA165:AA165)</f>
        <v>0</v>
      </c>
      <c r="AB164" s="90">
        <f t="shared" si="86"/>
        <v>0</v>
      </c>
      <c r="AC164" s="80">
        <f>SUM(AC165:AC165)</f>
        <v>0</v>
      </c>
      <c r="AD164" s="81"/>
      <c r="AE164" s="81"/>
      <c r="AF164" s="81"/>
    </row>
    <row r="165" spans="1:32" s="82" customFormat="1" ht="25.5" hidden="1" x14ac:dyDescent="0.2">
      <c r="A165" s="92" t="s">
        <v>359</v>
      </c>
      <c r="B165" s="71"/>
      <c r="C165" s="89"/>
      <c r="D165" s="89"/>
      <c r="E165" s="89" t="s">
        <v>196</v>
      </c>
      <c r="F165" s="89" t="s">
        <v>199</v>
      </c>
      <c r="G165" s="89"/>
      <c r="H165" s="84">
        <v>0</v>
      </c>
      <c r="I165" s="84">
        <f>SUM(J165:M165)</f>
        <v>0</v>
      </c>
      <c r="J165" s="84">
        <v>0</v>
      </c>
      <c r="K165" s="84">
        <v>0</v>
      </c>
      <c r="L165" s="84">
        <v>0</v>
      </c>
      <c r="M165" s="84">
        <v>0</v>
      </c>
      <c r="N165" s="84">
        <f>H165+I165</f>
        <v>0</v>
      </c>
      <c r="O165" s="84">
        <v>0</v>
      </c>
      <c r="P165" s="90">
        <v>0</v>
      </c>
      <c r="Q165" s="84"/>
      <c r="R165" s="84"/>
      <c r="S165" s="84"/>
      <c r="T165" s="84"/>
      <c r="U165" s="84"/>
      <c r="V165" s="84"/>
      <c r="W165" s="84"/>
      <c r="X165" s="84"/>
      <c r="Y165" s="84"/>
      <c r="Z165" s="84">
        <f t="shared" si="73"/>
        <v>0</v>
      </c>
      <c r="AA165" s="90">
        <v>0</v>
      </c>
      <c r="AB165" s="90">
        <f t="shared" si="86"/>
        <v>0</v>
      </c>
      <c r="AC165" s="90">
        <v>0</v>
      </c>
      <c r="AD165" s="81"/>
      <c r="AE165" s="81"/>
      <c r="AF165" s="81"/>
    </row>
    <row r="166" spans="1:32" s="82" customFormat="1" x14ac:dyDescent="0.2">
      <c r="A166" s="92" t="s">
        <v>360</v>
      </c>
      <c r="B166" s="71" t="s">
        <v>289</v>
      </c>
      <c r="C166" s="89" t="s">
        <v>323</v>
      </c>
      <c r="D166" s="89" t="s">
        <v>361</v>
      </c>
      <c r="E166" s="89" t="s">
        <v>362</v>
      </c>
      <c r="F166" s="89" t="s">
        <v>363</v>
      </c>
      <c r="G166" s="89" t="s">
        <v>282</v>
      </c>
      <c r="H166" s="84"/>
      <c r="I166" s="84"/>
      <c r="J166" s="84"/>
      <c r="K166" s="84"/>
      <c r="L166" s="84"/>
      <c r="M166" s="84"/>
      <c r="N166" s="84"/>
      <c r="O166" s="84"/>
      <c r="P166" s="90"/>
      <c r="Q166" s="84"/>
      <c r="R166" s="84"/>
      <c r="S166" s="84"/>
      <c r="T166" s="84"/>
      <c r="U166" s="84"/>
      <c r="V166" s="84"/>
      <c r="W166" s="84"/>
      <c r="X166" s="84"/>
      <c r="Y166" s="84"/>
      <c r="Z166" s="84">
        <f t="shared" si="73"/>
        <v>300000</v>
      </c>
      <c r="AA166" s="90">
        <v>300000</v>
      </c>
      <c r="AB166" s="90">
        <f t="shared" si="86"/>
        <v>0</v>
      </c>
      <c r="AC166" s="90">
        <v>300000</v>
      </c>
      <c r="AD166" s="81"/>
      <c r="AE166" s="81"/>
      <c r="AF166" s="81"/>
    </row>
    <row r="167" spans="1:32" s="82" customFormat="1" x14ac:dyDescent="0.2">
      <c r="A167" s="83" t="s">
        <v>202</v>
      </c>
      <c r="B167" s="77">
        <v>804</v>
      </c>
      <c r="C167" s="78" t="s">
        <v>323</v>
      </c>
      <c r="D167" s="78" t="s">
        <v>324</v>
      </c>
      <c r="E167" s="78" t="s">
        <v>168</v>
      </c>
      <c r="F167" s="78" t="s">
        <v>197</v>
      </c>
      <c r="G167" s="78"/>
      <c r="H167" s="79">
        <f t="shared" ref="H167:O167" si="88">SUM(H168:H169)</f>
        <v>50000</v>
      </c>
      <c r="I167" s="79">
        <f t="shared" si="88"/>
        <v>151300</v>
      </c>
      <c r="J167" s="79">
        <f t="shared" si="88"/>
        <v>1300</v>
      </c>
      <c r="K167" s="79">
        <f t="shared" si="88"/>
        <v>0</v>
      </c>
      <c r="L167" s="79">
        <f t="shared" si="88"/>
        <v>0</v>
      </c>
      <c r="M167" s="79">
        <f t="shared" si="88"/>
        <v>150000</v>
      </c>
      <c r="N167" s="79">
        <f t="shared" si="88"/>
        <v>201300</v>
      </c>
      <c r="O167" s="79">
        <f t="shared" si="88"/>
        <v>40000</v>
      </c>
      <c r="P167" s="80">
        <f>SUM(P168:P172)</f>
        <v>123649</v>
      </c>
      <c r="Q167" s="80">
        <f t="shared" ref="Q167:Y167" si="89">SUM(Q169:Q169)</f>
        <v>0</v>
      </c>
      <c r="R167" s="80">
        <f t="shared" si="89"/>
        <v>0</v>
      </c>
      <c r="S167" s="80">
        <f t="shared" si="89"/>
        <v>0</v>
      </c>
      <c r="T167" s="80">
        <f t="shared" si="89"/>
        <v>0</v>
      </c>
      <c r="U167" s="80">
        <f t="shared" si="89"/>
        <v>0</v>
      </c>
      <c r="V167" s="80">
        <f t="shared" si="89"/>
        <v>0</v>
      </c>
      <c r="W167" s="80">
        <f t="shared" si="89"/>
        <v>0</v>
      </c>
      <c r="X167" s="80">
        <f t="shared" si="89"/>
        <v>10000</v>
      </c>
      <c r="Y167" s="80">
        <f t="shared" si="89"/>
        <v>0</v>
      </c>
      <c r="Z167" s="80">
        <f t="shared" si="73"/>
        <v>1382</v>
      </c>
      <c r="AA167" s="80">
        <f>SUM(AA168:AA172)</f>
        <v>125031</v>
      </c>
      <c r="AB167" s="80">
        <f t="shared" ref="AB167:AC167" si="90">SUM(AB168:AB172)</f>
        <v>0</v>
      </c>
      <c r="AC167" s="80">
        <f t="shared" si="90"/>
        <v>125031</v>
      </c>
      <c r="AD167" s="81"/>
      <c r="AE167" s="81"/>
      <c r="AF167" s="81"/>
    </row>
    <row r="168" spans="1:32" s="82" customFormat="1" x14ac:dyDescent="0.2">
      <c r="A168" s="87" t="s">
        <v>364</v>
      </c>
      <c r="B168" s="95">
        <v>804</v>
      </c>
      <c r="C168" s="89" t="s">
        <v>323</v>
      </c>
      <c r="D168" s="89" t="s">
        <v>324</v>
      </c>
      <c r="E168" s="89" t="s">
        <v>196</v>
      </c>
      <c r="F168" s="89" t="s">
        <v>365</v>
      </c>
      <c r="G168" s="89"/>
      <c r="H168" s="84">
        <v>0</v>
      </c>
      <c r="I168" s="84">
        <f>SUM(J168:M168)</f>
        <v>130000</v>
      </c>
      <c r="J168" s="84">
        <v>0</v>
      </c>
      <c r="K168" s="84">
        <v>0</v>
      </c>
      <c r="L168" s="84">
        <v>0</v>
      </c>
      <c r="M168" s="84">
        <v>130000</v>
      </c>
      <c r="N168" s="84">
        <f>H168+I168</f>
        <v>130000</v>
      </c>
      <c r="O168" s="84">
        <v>0</v>
      </c>
      <c r="P168" s="90">
        <v>0</v>
      </c>
      <c r="Q168" s="84"/>
      <c r="R168" s="84"/>
      <c r="S168" s="84"/>
      <c r="T168" s="84"/>
      <c r="U168" s="84"/>
      <c r="V168" s="84"/>
      <c r="W168" s="84"/>
      <c r="X168" s="84"/>
      <c r="Y168" s="84"/>
      <c r="Z168" s="84">
        <f t="shared" si="73"/>
        <v>20000</v>
      </c>
      <c r="AA168" s="90">
        <v>20000</v>
      </c>
      <c r="AB168" s="90">
        <f t="shared" si="86"/>
        <v>0</v>
      </c>
      <c r="AC168" s="90">
        <v>20000</v>
      </c>
      <c r="AD168" s="81"/>
      <c r="AE168" s="81"/>
      <c r="AF168" s="81"/>
    </row>
    <row r="169" spans="1:32" s="82" customFormat="1" ht="25.5" x14ac:dyDescent="0.2">
      <c r="A169" s="92" t="s">
        <v>366</v>
      </c>
      <c r="B169" s="95">
        <v>804</v>
      </c>
      <c r="C169" s="89" t="s">
        <v>323</v>
      </c>
      <c r="D169" s="89" t="s">
        <v>324</v>
      </c>
      <c r="E169" s="89" t="s">
        <v>196</v>
      </c>
      <c r="F169" s="89" t="s">
        <v>208</v>
      </c>
      <c r="G169" s="89"/>
      <c r="H169" s="84">
        <v>50000</v>
      </c>
      <c r="I169" s="84">
        <f>SUM(J169:M169)</f>
        <v>21300</v>
      </c>
      <c r="J169" s="84">
        <v>1300</v>
      </c>
      <c r="K169" s="84">
        <v>0</v>
      </c>
      <c r="L169" s="84">
        <v>0</v>
      </c>
      <c r="M169" s="84">
        <v>20000</v>
      </c>
      <c r="N169" s="84">
        <f>H169+I169</f>
        <v>71300</v>
      </c>
      <c r="O169" s="84">
        <f>50000*80%</f>
        <v>40000</v>
      </c>
      <c r="P169" s="90">
        <f>10000</f>
        <v>10000</v>
      </c>
      <c r="Q169" s="84">
        <f>R169+S169+T169+U169+V169</f>
        <v>0</v>
      </c>
      <c r="R169" s="84">
        <v>0</v>
      </c>
      <c r="S169" s="84">
        <v>0</v>
      </c>
      <c r="T169" s="84"/>
      <c r="U169" s="84">
        <v>0</v>
      </c>
      <c r="V169" s="84"/>
      <c r="W169" s="84"/>
      <c r="X169" s="84">
        <f>P169+Q169</f>
        <v>10000</v>
      </c>
      <c r="Y169" s="84" t="s">
        <v>227</v>
      </c>
      <c r="Z169" s="84">
        <f t="shared" si="73"/>
        <v>1460</v>
      </c>
      <c r="AA169" s="90">
        <f>10000+2000-540</f>
        <v>11460</v>
      </c>
      <c r="AB169" s="90">
        <f t="shared" si="86"/>
        <v>0</v>
      </c>
      <c r="AC169" s="90">
        <f>10000+2000-540</f>
        <v>11460</v>
      </c>
      <c r="AD169" s="81"/>
      <c r="AE169" s="81"/>
      <c r="AF169" s="81"/>
    </row>
    <row r="170" spans="1:32" s="82" customFormat="1" ht="25.5" x14ac:dyDescent="0.2">
      <c r="A170" s="92" t="s">
        <v>367</v>
      </c>
      <c r="B170" s="95">
        <v>804</v>
      </c>
      <c r="C170" s="89" t="s">
        <v>323</v>
      </c>
      <c r="D170" s="89" t="s">
        <v>324</v>
      </c>
      <c r="E170" s="89" t="s">
        <v>196</v>
      </c>
      <c r="F170" s="89" t="s">
        <v>208</v>
      </c>
      <c r="G170" s="89"/>
      <c r="H170" s="84"/>
      <c r="I170" s="84"/>
      <c r="J170" s="84"/>
      <c r="K170" s="84"/>
      <c r="L170" s="84"/>
      <c r="M170" s="84"/>
      <c r="N170" s="84"/>
      <c r="O170" s="84"/>
      <c r="P170" s="90">
        <v>19100</v>
      </c>
      <c r="Q170" s="84"/>
      <c r="R170" s="84"/>
      <c r="S170" s="84"/>
      <c r="T170" s="84"/>
      <c r="U170" s="84"/>
      <c r="V170" s="84"/>
      <c r="W170" s="84"/>
      <c r="X170" s="84"/>
      <c r="Y170" s="84"/>
      <c r="Z170" s="84">
        <f t="shared" si="73"/>
        <v>0</v>
      </c>
      <c r="AA170" s="90">
        <v>19100</v>
      </c>
      <c r="AB170" s="90">
        <f t="shared" si="86"/>
        <v>0</v>
      </c>
      <c r="AC170" s="90">
        <v>19100</v>
      </c>
      <c r="AD170" s="81"/>
      <c r="AE170" s="81"/>
      <c r="AF170" s="81"/>
    </row>
    <row r="171" spans="1:32" s="82" customFormat="1" ht="25.5" x14ac:dyDescent="0.2">
      <c r="A171" s="92" t="s">
        <v>368</v>
      </c>
      <c r="B171" s="95">
        <v>804</v>
      </c>
      <c r="C171" s="89" t="s">
        <v>323</v>
      </c>
      <c r="D171" s="89" t="s">
        <v>324</v>
      </c>
      <c r="E171" s="89" t="s">
        <v>196</v>
      </c>
      <c r="F171" s="89" t="s">
        <v>208</v>
      </c>
      <c r="G171" s="89"/>
      <c r="H171" s="84"/>
      <c r="I171" s="84"/>
      <c r="J171" s="84"/>
      <c r="K171" s="84"/>
      <c r="L171" s="84"/>
      <c r="M171" s="84"/>
      <c r="N171" s="84"/>
      <c r="O171" s="84"/>
      <c r="P171" s="90">
        <v>17549</v>
      </c>
      <c r="Q171" s="84"/>
      <c r="R171" s="84"/>
      <c r="S171" s="84"/>
      <c r="T171" s="84"/>
      <c r="U171" s="84"/>
      <c r="V171" s="84"/>
      <c r="W171" s="84"/>
      <c r="X171" s="84"/>
      <c r="Y171" s="84"/>
      <c r="Z171" s="84">
        <f t="shared" si="73"/>
        <v>0</v>
      </c>
      <c r="AA171" s="90">
        <v>17549</v>
      </c>
      <c r="AB171" s="90">
        <f t="shared" si="86"/>
        <v>0</v>
      </c>
      <c r="AC171" s="90">
        <v>17549</v>
      </c>
      <c r="AD171" s="81"/>
      <c r="AE171" s="81"/>
      <c r="AF171" s="81"/>
    </row>
    <row r="172" spans="1:32" s="82" customFormat="1" ht="38.25" x14ac:dyDescent="0.2">
      <c r="A172" s="92" t="s">
        <v>369</v>
      </c>
      <c r="B172" s="95">
        <v>804</v>
      </c>
      <c r="C172" s="89" t="s">
        <v>323</v>
      </c>
      <c r="D172" s="89" t="s">
        <v>370</v>
      </c>
      <c r="E172" s="89" t="s">
        <v>196</v>
      </c>
      <c r="F172" s="89" t="s">
        <v>212</v>
      </c>
      <c r="G172" s="89"/>
      <c r="H172" s="84"/>
      <c r="I172" s="84"/>
      <c r="J172" s="84"/>
      <c r="K172" s="84"/>
      <c r="L172" s="84"/>
      <c r="M172" s="84"/>
      <c r="N172" s="84"/>
      <c r="O172" s="84"/>
      <c r="P172" s="90">
        <f>50000+17000+10000</f>
        <v>77000</v>
      </c>
      <c r="Q172" s="84"/>
      <c r="R172" s="84"/>
      <c r="S172" s="84"/>
      <c r="T172" s="84"/>
      <c r="U172" s="84"/>
      <c r="V172" s="84"/>
      <c r="W172" s="84"/>
      <c r="X172" s="84"/>
      <c r="Y172" s="84"/>
      <c r="Z172" s="84">
        <f t="shared" si="73"/>
        <v>-20078</v>
      </c>
      <c r="AA172" s="90">
        <v>56922</v>
      </c>
      <c r="AB172" s="90">
        <f t="shared" si="86"/>
        <v>0</v>
      </c>
      <c r="AC172" s="90">
        <v>56922</v>
      </c>
      <c r="AD172" s="81"/>
      <c r="AE172" s="81"/>
      <c r="AF172" s="81"/>
    </row>
    <row r="173" spans="1:32" s="82" customFormat="1" x14ac:dyDescent="0.2">
      <c r="A173" s="150" t="s">
        <v>371</v>
      </c>
      <c r="B173" s="128" t="s">
        <v>289</v>
      </c>
      <c r="C173" s="78" t="s">
        <v>323</v>
      </c>
      <c r="D173" s="78" t="s">
        <v>167</v>
      </c>
      <c r="E173" s="78" t="s">
        <v>168</v>
      </c>
      <c r="F173" s="78" t="s">
        <v>168</v>
      </c>
      <c r="G173" s="78"/>
      <c r="H173" s="79" t="e">
        <f>H187+#REF!+H178+#REF!</f>
        <v>#REF!</v>
      </c>
      <c r="I173" s="84"/>
      <c r="J173" s="84"/>
      <c r="K173" s="84"/>
      <c r="L173" s="84"/>
      <c r="M173" s="84"/>
      <c r="N173" s="84"/>
      <c r="O173" s="79" t="e">
        <f>O187+#REF!+O178+#REF!</f>
        <v>#REF!</v>
      </c>
      <c r="P173" s="80">
        <f>P174+P178+P187+P191</f>
        <v>1236478.54</v>
      </c>
      <c r="Q173" s="80" t="e">
        <f>Q178+#REF!+#REF!+#REF!+#REF!+Q193+#REF!+#REF!</f>
        <v>#REF!</v>
      </c>
      <c r="R173" s="80" t="e">
        <f>R178+#REF!+#REF!+#REF!+#REF!+R193+#REF!+#REF!</f>
        <v>#REF!</v>
      </c>
      <c r="S173" s="80" t="e">
        <f>S178+#REF!+#REF!+#REF!+#REF!+S193+#REF!+#REF!</f>
        <v>#REF!</v>
      </c>
      <c r="T173" s="80" t="e">
        <f>T178+#REF!+#REF!+#REF!+#REF!+T193+#REF!+#REF!</f>
        <v>#REF!</v>
      </c>
      <c r="U173" s="80" t="e">
        <f>U178+#REF!+#REF!+#REF!+#REF!+U193+#REF!+#REF!</f>
        <v>#REF!</v>
      </c>
      <c r="V173" s="80" t="e">
        <f>V178+#REF!+#REF!+#REF!+#REF!+V193+#REF!+#REF!</f>
        <v>#REF!</v>
      </c>
      <c r="W173" s="80" t="e">
        <f>W178+#REF!+#REF!+#REF!+#REF!+W193+#REF!+#REF!</f>
        <v>#REF!</v>
      </c>
      <c r="X173" s="80" t="e">
        <f>X178+#REF!+#REF!+#REF!+#REF!+X193+#REF!+#REF!</f>
        <v>#REF!</v>
      </c>
      <c r="Y173" s="84"/>
      <c r="Z173" s="84">
        <f t="shared" si="73"/>
        <v>155629.6399999999</v>
      </c>
      <c r="AA173" s="80">
        <f>AA174+AA187</f>
        <v>1392108.18</v>
      </c>
      <c r="AB173" s="80">
        <f t="shared" ref="AB173:AC173" si="91">AB174+AB187</f>
        <v>-23891.759999999998</v>
      </c>
      <c r="AC173" s="80">
        <f t="shared" si="91"/>
        <v>1368216.4200000002</v>
      </c>
      <c r="AD173" s="81"/>
      <c r="AE173" s="81"/>
      <c r="AF173" s="81"/>
    </row>
    <row r="174" spans="1:32" s="82" customFormat="1" x14ac:dyDescent="0.2">
      <c r="A174" s="136" t="s">
        <v>372</v>
      </c>
      <c r="B174" s="146">
        <v>804</v>
      </c>
      <c r="C174" s="138" t="s">
        <v>323</v>
      </c>
      <c r="D174" s="138" t="s">
        <v>324</v>
      </c>
      <c r="E174" s="138" t="s">
        <v>373</v>
      </c>
      <c r="F174" s="138" t="s">
        <v>321</v>
      </c>
      <c r="G174" s="138" t="s">
        <v>340</v>
      </c>
      <c r="H174" s="105"/>
      <c r="I174" s="105"/>
      <c r="J174" s="105"/>
      <c r="K174" s="105"/>
      <c r="L174" s="105"/>
      <c r="M174" s="105"/>
      <c r="N174" s="105"/>
      <c r="O174" s="105"/>
      <c r="P174" s="139">
        <f t="shared" ref="P174:Y174" si="92">SUM(P176:P177)</f>
        <v>1092621.7</v>
      </c>
      <c r="Q174" s="139">
        <f t="shared" si="92"/>
        <v>0</v>
      </c>
      <c r="R174" s="139">
        <f t="shared" si="92"/>
        <v>0</v>
      </c>
      <c r="S174" s="139">
        <f t="shared" si="92"/>
        <v>0</v>
      </c>
      <c r="T174" s="139">
        <f t="shared" si="92"/>
        <v>0</v>
      </c>
      <c r="U174" s="139">
        <f t="shared" si="92"/>
        <v>0</v>
      </c>
      <c r="V174" s="139">
        <f t="shared" si="92"/>
        <v>0</v>
      </c>
      <c r="W174" s="139">
        <f t="shared" si="92"/>
        <v>0</v>
      </c>
      <c r="X174" s="139">
        <f t="shared" si="92"/>
        <v>1092621.7</v>
      </c>
      <c r="Y174" s="139">
        <f t="shared" si="92"/>
        <v>0</v>
      </c>
      <c r="Z174" s="139">
        <f t="shared" si="73"/>
        <v>118840.6399999999</v>
      </c>
      <c r="AA174" s="139">
        <f>SUM(AA175:AA177)</f>
        <v>1211462.3399999999</v>
      </c>
      <c r="AB174" s="139">
        <f t="shared" ref="AB174:AC174" si="93">SUM(AB175:AB177)</f>
        <v>-23891.759999999998</v>
      </c>
      <c r="AC174" s="139">
        <f t="shared" si="93"/>
        <v>1187570.58</v>
      </c>
      <c r="AD174" s="81"/>
      <c r="AE174" s="81"/>
      <c r="AF174" s="81"/>
    </row>
    <row r="175" spans="1:32" s="82" customFormat="1" ht="38.25" x14ac:dyDescent="0.2">
      <c r="A175" s="87" t="s">
        <v>374</v>
      </c>
      <c r="B175" s="88">
        <v>804</v>
      </c>
      <c r="C175" s="89" t="s">
        <v>323</v>
      </c>
      <c r="D175" s="89" t="s">
        <v>324</v>
      </c>
      <c r="E175" s="89" t="s">
        <v>375</v>
      </c>
      <c r="F175" s="89" t="s">
        <v>376</v>
      </c>
      <c r="G175" s="89"/>
      <c r="H175" s="84"/>
      <c r="I175" s="84"/>
      <c r="J175" s="84"/>
      <c r="K175" s="84"/>
      <c r="L175" s="84"/>
      <c r="M175" s="84"/>
      <c r="N175" s="84"/>
      <c r="O175" s="84"/>
      <c r="P175" s="90"/>
      <c r="Q175" s="90"/>
      <c r="R175" s="90"/>
      <c r="S175" s="90"/>
      <c r="T175" s="90"/>
      <c r="U175" s="90"/>
      <c r="V175" s="90"/>
      <c r="W175" s="90"/>
      <c r="X175" s="90"/>
      <c r="Y175" s="90"/>
      <c r="Z175" s="84">
        <f t="shared" si="73"/>
        <v>23891.759999999998</v>
      </c>
      <c r="AA175" s="90">
        <v>23891.759999999998</v>
      </c>
      <c r="AB175" s="90">
        <f t="shared" ref="AB175:AB177" si="94">AC175-AA175</f>
        <v>-23891.759999999998</v>
      </c>
      <c r="AC175" s="90"/>
      <c r="AD175" s="81"/>
      <c r="AE175" s="81"/>
      <c r="AF175" s="81"/>
    </row>
    <row r="176" spans="1:32" s="82" customFormat="1" ht="38.25" x14ac:dyDescent="0.2">
      <c r="A176" s="87" t="s">
        <v>377</v>
      </c>
      <c r="B176" s="88">
        <v>804</v>
      </c>
      <c r="C176" s="89" t="s">
        <v>323</v>
      </c>
      <c r="D176" s="89" t="s">
        <v>324</v>
      </c>
      <c r="E176" s="89" t="s">
        <v>375</v>
      </c>
      <c r="F176" s="89" t="s">
        <v>376</v>
      </c>
      <c r="G176" s="89" t="s">
        <v>378</v>
      </c>
      <c r="H176" s="84"/>
      <c r="I176" s="84"/>
      <c r="J176" s="84"/>
      <c r="K176" s="84"/>
      <c r="L176" s="84"/>
      <c r="M176" s="84"/>
      <c r="N176" s="84"/>
      <c r="O176" s="84"/>
      <c r="P176" s="90"/>
      <c r="Q176" s="84"/>
      <c r="R176" s="84"/>
      <c r="S176" s="84"/>
      <c r="T176" s="84"/>
      <c r="U176" s="84"/>
      <c r="V176" s="84"/>
      <c r="W176" s="84"/>
      <c r="X176" s="84"/>
      <c r="Y176" s="84"/>
      <c r="Z176" s="84">
        <f t="shared" si="73"/>
        <v>94948.88</v>
      </c>
      <c r="AA176" s="90">
        <v>94948.88</v>
      </c>
      <c r="AB176" s="90">
        <f t="shared" si="94"/>
        <v>0</v>
      </c>
      <c r="AC176" s="90">
        <v>94948.88</v>
      </c>
      <c r="AD176" s="81"/>
      <c r="AE176" s="81"/>
      <c r="AF176" s="81"/>
    </row>
    <row r="177" spans="1:32" s="82" customFormat="1" ht="68.25" customHeight="1" x14ac:dyDescent="0.2">
      <c r="A177" s="91" t="s">
        <v>379</v>
      </c>
      <c r="B177" s="88">
        <v>804</v>
      </c>
      <c r="C177" s="89" t="s">
        <v>323</v>
      </c>
      <c r="D177" s="89" t="s">
        <v>324</v>
      </c>
      <c r="E177" s="89" t="s">
        <v>375</v>
      </c>
      <c r="F177" s="89" t="s">
        <v>376</v>
      </c>
      <c r="G177" s="89" t="s">
        <v>378</v>
      </c>
      <c r="H177" s="84"/>
      <c r="I177" s="84"/>
      <c r="J177" s="84"/>
      <c r="K177" s="84"/>
      <c r="L177" s="84"/>
      <c r="M177" s="84"/>
      <c r="N177" s="84"/>
      <c r="O177" s="84"/>
      <c r="P177" s="90">
        <v>1092621.7</v>
      </c>
      <c r="Q177" s="84">
        <f>R177+S177+T177+U177+V177</f>
        <v>0</v>
      </c>
      <c r="R177" s="84">
        <v>0</v>
      </c>
      <c r="S177" s="84"/>
      <c r="T177" s="84">
        <v>0</v>
      </c>
      <c r="U177" s="84">
        <v>0</v>
      </c>
      <c r="V177" s="84"/>
      <c r="W177" s="84"/>
      <c r="X177" s="84">
        <f>P177+Q177</f>
        <v>1092621.7</v>
      </c>
      <c r="Y177" s="84"/>
      <c r="Z177" s="84">
        <f t="shared" si="73"/>
        <v>0</v>
      </c>
      <c r="AA177" s="90">
        <v>1092621.7</v>
      </c>
      <c r="AB177" s="90">
        <f t="shared" si="94"/>
        <v>0</v>
      </c>
      <c r="AC177" s="90">
        <v>1092621.7</v>
      </c>
      <c r="AD177" s="81"/>
      <c r="AE177" s="81"/>
      <c r="AF177" s="81"/>
    </row>
    <row r="178" spans="1:32" s="82" customFormat="1" hidden="1" x14ac:dyDescent="0.2">
      <c r="A178" s="76" t="s">
        <v>275</v>
      </c>
      <c r="B178" s="77">
        <v>804</v>
      </c>
      <c r="C178" s="78" t="s">
        <v>323</v>
      </c>
      <c r="D178" s="78" t="s">
        <v>380</v>
      </c>
      <c r="E178" s="78" t="s">
        <v>373</v>
      </c>
      <c r="F178" s="78" t="s">
        <v>276</v>
      </c>
      <c r="G178" s="78"/>
      <c r="H178" s="79" t="e">
        <f>#REF!</f>
        <v>#REF!</v>
      </c>
      <c r="I178" s="84"/>
      <c r="J178" s="84"/>
      <c r="K178" s="84"/>
      <c r="L178" s="84"/>
      <c r="M178" s="84"/>
      <c r="N178" s="84"/>
      <c r="O178" s="79" t="e">
        <f>#REF!</f>
        <v>#REF!</v>
      </c>
      <c r="P178" s="80">
        <f t="shared" ref="P178:V178" si="95">SUM(P179:P186)</f>
        <v>0</v>
      </c>
      <c r="Q178" s="80">
        <f t="shared" si="95"/>
        <v>0</v>
      </c>
      <c r="R178" s="80">
        <f t="shared" si="95"/>
        <v>0</v>
      </c>
      <c r="S178" s="80">
        <f t="shared" si="95"/>
        <v>0</v>
      </c>
      <c r="T178" s="80">
        <f t="shared" si="95"/>
        <v>0</v>
      </c>
      <c r="U178" s="80">
        <f t="shared" si="95"/>
        <v>0</v>
      </c>
      <c r="V178" s="80">
        <f t="shared" si="95"/>
        <v>0</v>
      </c>
      <c r="W178" s="80"/>
      <c r="X178" s="80">
        <f>SUM(X179:X186)</f>
        <v>0</v>
      </c>
      <c r="Y178" s="84"/>
      <c r="Z178" s="84">
        <f t="shared" si="73"/>
        <v>0</v>
      </c>
      <c r="AA178" s="80">
        <f>SUM(AA179:AA186)</f>
        <v>0</v>
      </c>
      <c r="AB178" s="80"/>
      <c r="AC178" s="80">
        <f>SUM(AC179:AC186)</f>
        <v>0</v>
      </c>
      <c r="AD178" s="81"/>
      <c r="AE178" s="81"/>
      <c r="AF178" s="81"/>
    </row>
    <row r="179" spans="1:32" s="82" customFormat="1" hidden="1" x14ac:dyDescent="0.2">
      <c r="A179" s="151" t="s">
        <v>381</v>
      </c>
      <c r="B179" s="88">
        <v>804</v>
      </c>
      <c r="C179" s="89" t="s">
        <v>323</v>
      </c>
      <c r="D179" s="89" t="s">
        <v>380</v>
      </c>
      <c r="E179" s="89" t="s">
        <v>362</v>
      </c>
      <c r="F179" s="89" t="s">
        <v>276</v>
      </c>
      <c r="G179" s="89" t="s">
        <v>382</v>
      </c>
      <c r="H179" s="84"/>
      <c r="I179" s="84"/>
      <c r="J179" s="84"/>
      <c r="K179" s="84"/>
      <c r="L179" s="84"/>
      <c r="M179" s="84"/>
      <c r="N179" s="84"/>
      <c r="O179" s="84"/>
      <c r="P179" s="90">
        <v>0</v>
      </c>
      <c r="Q179" s="84">
        <f>R179+S179+T179+U179</f>
        <v>0</v>
      </c>
      <c r="R179" s="84">
        <v>0</v>
      </c>
      <c r="S179" s="84"/>
      <c r="T179" s="84"/>
      <c r="U179" s="84">
        <v>0</v>
      </c>
      <c r="V179" s="84"/>
      <c r="W179" s="84"/>
      <c r="X179" s="84">
        <f t="shared" ref="X179:X186" si="96">P179+Q179</f>
        <v>0</v>
      </c>
      <c r="Y179" s="84"/>
      <c r="Z179" s="84">
        <f t="shared" si="73"/>
        <v>0</v>
      </c>
      <c r="AA179" s="90">
        <v>0</v>
      </c>
      <c r="AB179" s="90"/>
      <c r="AC179" s="90">
        <v>0</v>
      </c>
      <c r="AD179" s="81"/>
      <c r="AE179" s="81"/>
      <c r="AF179" s="81"/>
    </row>
    <row r="180" spans="1:32" s="82" customFormat="1" hidden="1" x14ac:dyDescent="0.2">
      <c r="A180" s="151" t="s">
        <v>383</v>
      </c>
      <c r="B180" s="88">
        <v>804</v>
      </c>
      <c r="C180" s="89" t="s">
        <v>323</v>
      </c>
      <c r="D180" s="89" t="s">
        <v>380</v>
      </c>
      <c r="E180" s="89" t="s">
        <v>362</v>
      </c>
      <c r="F180" s="89" t="s">
        <v>363</v>
      </c>
      <c r="G180" s="89" t="s">
        <v>287</v>
      </c>
      <c r="H180" s="84"/>
      <c r="I180" s="84"/>
      <c r="J180" s="84"/>
      <c r="K180" s="84"/>
      <c r="L180" s="84"/>
      <c r="M180" s="84"/>
      <c r="N180" s="84"/>
      <c r="O180" s="84"/>
      <c r="P180" s="90">
        <v>0</v>
      </c>
      <c r="Q180" s="84">
        <f t="shared" ref="Q180:Q186" si="97">R180+S180+T180+U180+V180</f>
        <v>0</v>
      </c>
      <c r="R180" s="84"/>
      <c r="S180" s="84"/>
      <c r="T180" s="84"/>
      <c r="U180" s="84">
        <v>0</v>
      </c>
      <c r="V180" s="84"/>
      <c r="W180" s="84"/>
      <c r="X180" s="84">
        <f t="shared" si="96"/>
        <v>0</v>
      </c>
      <c r="Y180" s="84"/>
      <c r="Z180" s="84">
        <f t="shared" si="73"/>
        <v>0</v>
      </c>
      <c r="AA180" s="90">
        <v>0</v>
      </c>
      <c r="AB180" s="90"/>
      <c r="AC180" s="90">
        <v>0</v>
      </c>
      <c r="AD180" s="81"/>
      <c r="AE180" s="81"/>
      <c r="AF180" s="81"/>
    </row>
    <row r="181" spans="1:32" s="82" customFormat="1" hidden="1" x14ac:dyDescent="0.2">
      <c r="A181" s="151" t="s">
        <v>384</v>
      </c>
      <c r="B181" s="88">
        <v>804</v>
      </c>
      <c r="C181" s="89" t="s">
        <v>323</v>
      </c>
      <c r="D181" s="89" t="s">
        <v>380</v>
      </c>
      <c r="E181" s="89" t="s">
        <v>362</v>
      </c>
      <c r="F181" s="89" t="s">
        <v>363</v>
      </c>
      <c r="G181" s="89" t="s">
        <v>282</v>
      </c>
      <c r="H181" s="84"/>
      <c r="I181" s="84"/>
      <c r="J181" s="84"/>
      <c r="K181" s="84"/>
      <c r="L181" s="84"/>
      <c r="M181" s="84"/>
      <c r="N181" s="84"/>
      <c r="O181" s="84"/>
      <c r="P181" s="90">
        <v>0</v>
      </c>
      <c r="Q181" s="84">
        <f t="shared" si="97"/>
        <v>0</v>
      </c>
      <c r="R181" s="84"/>
      <c r="S181" s="84">
        <v>0</v>
      </c>
      <c r="T181" s="84"/>
      <c r="U181" s="84"/>
      <c r="V181" s="84"/>
      <c r="W181" s="84"/>
      <c r="X181" s="84">
        <f t="shared" si="96"/>
        <v>0</v>
      </c>
      <c r="Y181" s="84"/>
      <c r="Z181" s="84">
        <f t="shared" si="73"/>
        <v>0</v>
      </c>
      <c r="AA181" s="90">
        <v>0</v>
      </c>
      <c r="AB181" s="90"/>
      <c r="AC181" s="90">
        <v>0</v>
      </c>
      <c r="AD181" s="81"/>
      <c r="AE181" s="81"/>
      <c r="AF181" s="81"/>
    </row>
    <row r="182" spans="1:32" s="82" customFormat="1" ht="25.5" hidden="1" x14ac:dyDescent="0.2">
      <c r="A182" s="151" t="s">
        <v>286</v>
      </c>
      <c r="B182" s="88">
        <v>804</v>
      </c>
      <c r="C182" s="89" t="s">
        <v>323</v>
      </c>
      <c r="D182" s="89" t="s">
        <v>380</v>
      </c>
      <c r="E182" s="89" t="s">
        <v>284</v>
      </c>
      <c r="F182" s="89" t="s">
        <v>385</v>
      </c>
      <c r="G182" s="89" t="s">
        <v>282</v>
      </c>
      <c r="H182" s="84"/>
      <c r="I182" s="84"/>
      <c r="J182" s="84"/>
      <c r="K182" s="84"/>
      <c r="L182" s="84"/>
      <c r="M182" s="84"/>
      <c r="N182" s="84"/>
      <c r="O182" s="84"/>
      <c r="P182" s="90">
        <v>0</v>
      </c>
      <c r="Q182" s="84">
        <f t="shared" si="97"/>
        <v>0</v>
      </c>
      <c r="R182" s="84"/>
      <c r="S182" s="84"/>
      <c r="T182" s="84"/>
      <c r="U182" s="84"/>
      <c r="V182" s="84"/>
      <c r="W182" s="84"/>
      <c r="X182" s="84">
        <f t="shared" si="96"/>
        <v>0</v>
      </c>
      <c r="Y182" s="84"/>
      <c r="Z182" s="84">
        <f t="shared" si="73"/>
        <v>0</v>
      </c>
      <c r="AA182" s="90">
        <v>0</v>
      </c>
      <c r="AB182" s="90"/>
      <c r="AC182" s="90">
        <v>0</v>
      </c>
      <c r="AD182" s="81"/>
      <c r="AE182" s="81"/>
      <c r="AF182" s="81"/>
    </row>
    <row r="183" spans="1:32" s="82" customFormat="1" ht="38.25" hidden="1" x14ac:dyDescent="0.2">
      <c r="A183" s="151" t="s">
        <v>386</v>
      </c>
      <c r="B183" s="88">
        <v>804</v>
      </c>
      <c r="C183" s="89" t="s">
        <v>323</v>
      </c>
      <c r="D183" s="89" t="s">
        <v>380</v>
      </c>
      <c r="E183" s="89" t="s">
        <v>362</v>
      </c>
      <c r="F183" s="89" t="s">
        <v>363</v>
      </c>
      <c r="G183" s="89" t="s">
        <v>387</v>
      </c>
      <c r="H183" s="84"/>
      <c r="I183" s="84"/>
      <c r="J183" s="84"/>
      <c r="K183" s="84"/>
      <c r="L183" s="84"/>
      <c r="M183" s="84"/>
      <c r="N183" s="84"/>
      <c r="O183" s="84"/>
      <c r="P183" s="90">
        <v>0</v>
      </c>
      <c r="Q183" s="84">
        <f t="shared" si="97"/>
        <v>0</v>
      </c>
      <c r="R183" s="84"/>
      <c r="S183" s="84"/>
      <c r="T183" s="84"/>
      <c r="U183" s="84"/>
      <c r="V183" s="84"/>
      <c r="W183" s="84"/>
      <c r="X183" s="84">
        <f t="shared" si="96"/>
        <v>0</v>
      </c>
      <c r="Y183" s="84"/>
      <c r="Z183" s="84">
        <f t="shared" si="73"/>
        <v>0</v>
      </c>
      <c r="AA183" s="90">
        <v>0</v>
      </c>
      <c r="AB183" s="90"/>
      <c r="AC183" s="90">
        <v>0</v>
      </c>
      <c r="AD183" s="81"/>
      <c r="AE183" s="81"/>
      <c r="AF183" s="81"/>
    </row>
    <row r="184" spans="1:32" s="82" customFormat="1" ht="38.25" hidden="1" x14ac:dyDescent="0.2">
      <c r="A184" s="151" t="s">
        <v>388</v>
      </c>
      <c r="B184" s="88">
        <v>804</v>
      </c>
      <c r="C184" s="89" t="s">
        <v>323</v>
      </c>
      <c r="D184" s="89" t="s">
        <v>380</v>
      </c>
      <c r="E184" s="89" t="s">
        <v>362</v>
      </c>
      <c r="F184" s="89" t="s">
        <v>363</v>
      </c>
      <c r="G184" s="89" t="s">
        <v>382</v>
      </c>
      <c r="H184" s="84"/>
      <c r="I184" s="84"/>
      <c r="J184" s="84"/>
      <c r="K184" s="84"/>
      <c r="L184" s="84"/>
      <c r="M184" s="84"/>
      <c r="N184" s="84"/>
      <c r="O184" s="84"/>
      <c r="P184" s="90">
        <v>0</v>
      </c>
      <c r="Q184" s="84">
        <f t="shared" si="97"/>
        <v>0</v>
      </c>
      <c r="R184" s="84"/>
      <c r="S184" s="84"/>
      <c r="T184" s="84"/>
      <c r="U184" s="84"/>
      <c r="V184" s="84"/>
      <c r="W184" s="84"/>
      <c r="X184" s="84">
        <f t="shared" si="96"/>
        <v>0</v>
      </c>
      <c r="Y184" s="84"/>
      <c r="Z184" s="84">
        <f t="shared" si="73"/>
        <v>0</v>
      </c>
      <c r="AA184" s="90">
        <v>0</v>
      </c>
      <c r="AB184" s="90"/>
      <c r="AC184" s="90">
        <v>0</v>
      </c>
      <c r="AD184" s="81"/>
      <c r="AE184" s="81"/>
      <c r="AF184" s="81"/>
    </row>
    <row r="185" spans="1:32" s="82" customFormat="1" ht="38.25" hidden="1" x14ac:dyDescent="0.2">
      <c r="A185" s="151" t="s">
        <v>389</v>
      </c>
      <c r="B185" s="88">
        <v>804</v>
      </c>
      <c r="C185" s="89" t="s">
        <v>323</v>
      </c>
      <c r="D185" s="89" t="s">
        <v>380</v>
      </c>
      <c r="E185" s="89" t="s">
        <v>362</v>
      </c>
      <c r="F185" s="89" t="s">
        <v>363</v>
      </c>
      <c r="G185" s="89" t="s">
        <v>287</v>
      </c>
      <c r="H185" s="84"/>
      <c r="I185" s="84"/>
      <c r="J185" s="84"/>
      <c r="K185" s="84"/>
      <c r="L185" s="84"/>
      <c r="M185" s="84"/>
      <c r="N185" s="84"/>
      <c r="O185" s="84"/>
      <c r="P185" s="90">
        <v>0</v>
      </c>
      <c r="Q185" s="84">
        <f t="shared" si="97"/>
        <v>0</v>
      </c>
      <c r="R185" s="84"/>
      <c r="S185" s="84"/>
      <c r="T185" s="84"/>
      <c r="U185" s="84"/>
      <c r="V185" s="84"/>
      <c r="W185" s="84"/>
      <c r="X185" s="84">
        <f t="shared" si="96"/>
        <v>0</v>
      </c>
      <c r="Y185" s="84"/>
      <c r="Z185" s="84">
        <f t="shared" si="73"/>
        <v>0</v>
      </c>
      <c r="AA185" s="90">
        <v>0</v>
      </c>
      <c r="AB185" s="90"/>
      <c r="AC185" s="90">
        <v>0</v>
      </c>
      <c r="AD185" s="81"/>
      <c r="AE185" s="81"/>
      <c r="AF185" s="81"/>
    </row>
    <row r="186" spans="1:32" s="82" customFormat="1" hidden="1" x14ac:dyDescent="0.2">
      <c r="A186" s="151" t="s">
        <v>390</v>
      </c>
      <c r="B186" s="88">
        <v>804</v>
      </c>
      <c r="C186" s="89" t="s">
        <v>323</v>
      </c>
      <c r="D186" s="89" t="s">
        <v>380</v>
      </c>
      <c r="E186" s="89" t="s">
        <v>284</v>
      </c>
      <c r="F186" s="89" t="s">
        <v>391</v>
      </c>
      <c r="G186" s="89" t="s">
        <v>287</v>
      </c>
      <c r="H186" s="84"/>
      <c r="I186" s="84"/>
      <c r="J186" s="84"/>
      <c r="K186" s="84"/>
      <c r="L186" s="84"/>
      <c r="M186" s="84"/>
      <c r="N186" s="84"/>
      <c r="O186" s="84"/>
      <c r="P186" s="90">
        <v>0</v>
      </c>
      <c r="Q186" s="84">
        <f t="shared" si="97"/>
        <v>0</v>
      </c>
      <c r="R186" s="84">
        <v>0</v>
      </c>
      <c r="S186" s="84"/>
      <c r="T186" s="84"/>
      <c r="U186" s="84"/>
      <c r="V186" s="84"/>
      <c r="W186" s="84"/>
      <c r="X186" s="84">
        <f t="shared" si="96"/>
        <v>0</v>
      </c>
      <c r="Y186" s="84"/>
      <c r="Z186" s="84">
        <f t="shared" si="73"/>
        <v>0</v>
      </c>
      <c r="AA186" s="90">
        <v>0</v>
      </c>
      <c r="AB186" s="90"/>
      <c r="AC186" s="90">
        <v>0</v>
      </c>
      <c r="AD186" s="81"/>
      <c r="AE186" s="81"/>
      <c r="AF186" s="81"/>
    </row>
    <row r="187" spans="1:32" s="82" customFormat="1" x14ac:dyDescent="0.2">
      <c r="A187" s="136" t="s">
        <v>255</v>
      </c>
      <c r="B187" s="143">
        <v>804</v>
      </c>
      <c r="C187" s="138" t="s">
        <v>323</v>
      </c>
      <c r="D187" s="78" t="s">
        <v>392</v>
      </c>
      <c r="E187" s="138" t="s">
        <v>233</v>
      </c>
      <c r="F187" s="138" t="s">
        <v>321</v>
      </c>
      <c r="G187" s="138"/>
      <c r="H187" s="142">
        <f>SUM(H189:H190)</f>
        <v>110000</v>
      </c>
      <c r="I187" s="142"/>
      <c r="J187" s="142"/>
      <c r="K187" s="142"/>
      <c r="L187" s="142"/>
      <c r="M187" s="142"/>
      <c r="N187" s="142"/>
      <c r="O187" s="142">
        <f>SUM(O189:O190)</f>
        <v>110000</v>
      </c>
      <c r="P187" s="139">
        <f t="shared" ref="P187:Y187" si="98">SUM(P188:P189)</f>
        <v>143856.84</v>
      </c>
      <c r="Q187" s="139">
        <f t="shared" si="98"/>
        <v>0</v>
      </c>
      <c r="R187" s="139">
        <f t="shared" si="98"/>
        <v>0</v>
      </c>
      <c r="S187" s="139">
        <f t="shared" si="98"/>
        <v>0</v>
      </c>
      <c r="T187" s="139">
        <f t="shared" si="98"/>
        <v>0</v>
      </c>
      <c r="U187" s="139">
        <f t="shared" si="98"/>
        <v>0</v>
      </c>
      <c r="V187" s="139">
        <f t="shared" si="98"/>
        <v>0</v>
      </c>
      <c r="W187" s="139">
        <f t="shared" si="98"/>
        <v>0</v>
      </c>
      <c r="X187" s="139">
        <f t="shared" si="98"/>
        <v>0</v>
      </c>
      <c r="Y187" s="139">
        <f t="shared" si="98"/>
        <v>0</v>
      </c>
      <c r="Z187" s="139">
        <f t="shared" si="73"/>
        <v>36789</v>
      </c>
      <c r="AA187" s="139">
        <f>SUM(AA188:AA189)</f>
        <v>180645.84</v>
      </c>
      <c r="AB187" s="139">
        <f t="shared" ref="AB187" si="99">SUM(AB188:AB189)</f>
        <v>0</v>
      </c>
      <c r="AC187" s="139">
        <f>SUM(AC188:AC189)</f>
        <v>180645.84</v>
      </c>
      <c r="AD187" s="81"/>
      <c r="AE187" s="81"/>
      <c r="AF187" s="81"/>
    </row>
    <row r="188" spans="1:32" s="82" customFormat="1" x14ac:dyDescent="0.2">
      <c r="A188" s="152" t="s">
        <v>354</v>
      </c>
      <c r="B188" s="95">
        <v>804</v>
      </c>
      <c r="C188" s="89" t="s">
        <v>323</v>
      </c>
      <c r="D188" s="89" t="s">
        <v>392</v>
      </c>
      <c r="E188" s="89" t="s">
        <v>196</v>
      </c>
      <c r="F188" s="89" t="s">
        <v>187</v>
      </c>
      <c r="G188" s="89" t="s">
        <v>393</v>
      </c>
      <c r="H188" s="142"/>
      <c r="I188" s="142"/>
      <c r="J188" s="142"/>
      <c r="K188" s="142"/>
      <c r="L188" s="142"/>
      <c r="M188" s="142"/>
      <c r="N188" s="142"/>
      <c r="O188" s="142"/>
      <c r="P188" s="139"/>
      <c r="Q188" s="80"/>
      <c r="R188" s="80"/>
      <c r="S188" s="80"/>
      <c r="T188" s="80"/>
      <c r="U188" s="80"/>
      <c r="V188" s="80"/>
      <c r="W188" s="80"/>
      <c r="X188" s="80"/>
      <c r="Y188" s="84"/>
      <c r="Z188" s="84">
        <f t="shared" si="73"/>
        <v>20789</v>
      </c>
      <c r="AA188" s="90">
        <v>20789</v>
      </c>
      <c r="AB188" s="90">
        <f t="shared" ref="AB188:AB193" si="100">AC188-AA188</f>
        <v>0</v>
      </c>
      <c r="AC188" s="90">
        <v>20789</v>
      </c>
      <c r="AD188" s="81"/>
      <c r="AE188" s="81"/>
      <c r="AF188" s="81"/>
    </row>
    <row r="189" spans="1:32" s="82" customFormat="1" x14ac:dyDescent="0.2">
      <c r="A189" s="91" t="s">
        <v>394</v>
      </c>
      <c r="B189" s="101">
        <v>804</v>
      </c>
      <c r="C189" s="89" t="s">
        <v>323</v>
      </c>
      <c r="D189" s="89" t="s">
        <v>392</v>
      </c>
      <c r="E189" s="89" t="s">
        <v>196</v>
      </c>
      <c r="F189" s="89" t="s">
        <v>187</v>
      </c>
      <c r="G189" s="89"/>
      <c r="H189" s="84">
        <v>110000</v>
      </c>
      <c r="I189" s="84"/>
      <c r="J189" s="84"/>
      <c r="K189" s="84"/>
      <c r="L189" s="84"/>
      <c r="M189" s="84"/>
      <c r="N189" s="84"/>
      <c r="O189" s="84">
        <v>110000</v>
      </c>
      <c r="P189" s="90">
        <v>143856.84</v>
      </c>
      <c r="Q189" s="90">
        <v>0</v>
      </c>
      <c r="R189" s="90">
        <v>0</v>
      </c>
      <c r="S189" s="90">
        <v>0</v>
      </c>
      <c r="T189" s="90">
        <v>0</v>
      </c>
      <c r="U189" s="90">
        <v>0</v>
      </c>
      <c r="V189" s="90"/>
      <c r="W189" s="90"/>
      <c r="X189" s="90">
        <v>0</v>
      </c>
      <c r="Y189" s="84"/>
      <c r="Z189" s="84">
        <f t="shared" si="73"/>
        <v>16000</v>
      </c>
      <c r="AA189" s="90">
        <v>159856.84</v>
      </c>
      <c r="AB189" s="90">
        <f t="shared" si="100"/>
        <v>0</v>
      </c>
      <c r="AC189" s="90">
        <v>159856.84</v>
      </c>
      <c r="AD189" s="81"/>
      <c r="AE189" s="81"/>
      <c r="AF189" s="81"/>
    </row>
    <row r="190" spans="1:32" s="82" customFormat="1" hidden="1" x14ac:dyDescent="0.2">
      <c r="A190" s="87" t="s">
        <v>395</v>
      </c>
      <c r="B190" s="88">
        <v>804</v>
      </c>
      <c r="C190" s="89" t="s">
        <v>323</v>
      </c>
      <c r="D190" s="89" t="s">
        <v>392</v>
      </c>
      <c r="E190" s="89" t="s">
        <v>196</v>
      </c>
      <c r="F190" s="89" t="s">
        <v>187</v>
      </c>
      <c r="G190" s="89" t="s">
        <v>393</v>
      </c>
      <c r="H190" s="84"/>
      <c r="I190" s="84"/>
      <c r="J190" s="84"/>
      <c r="K190" s="84"/>
      <c r="L190" s="84"/>
      <c r="M190" s="84"/>
      <c r="N190" s="84"/>
      <c r="O190" s="84"/>
      <c r="P190" s="90">
        <v>0</v>
      </c>
      <c r="Q190" s="84">
        <f>R190+S190+T190+U190+V190</f>
        <v>0</v>
      </c>
      <c r="R190" s="84">
        <v>0</v>
      </c>
      <c r="S190" s="84"/>
      <c r="T190" s="84"/>
      <c r="U190" s="84">
        <v>0</v>
      </c>
      <c r="V190" s="84"/>
      <c r="W190" s="84"/>
      <c r="X190" s="84">
        <f>P190+Q190</f>
        <v>0</v>
      </c>
      <c r="Y190" s="84" t="s">
        <v>227</v>
      </c>
      <c r="Z190" s="84">
        <f t="shared" si="73"/>
        <v>0</v>
      </c>
      <c r="AA190" s="90">
        <v>0</v>
      </c>
      <c r="AB190" s="90">
        <f t="shared" si="100"/>
        <v>0</v>
      </c>
      <c r="AC190" s="90">
        <v>0</v>
      </c>
      <c r="AD190" s="81"/>
      <c r="AE190" s="81"/>
      <c r="AF190" s="81"/>
    </row>
    <row r="191" spans="1:32" s="82" customFormat="1" hidden="1" x14ac:dyDescent="0.2">
      <c r="A191" s="76" t="s">
        <v>396</v>
      </c>
      <c r="B191" s="77">
        <v>804</v>
      </c>
      <c r="C191" s="78" t="s">
        <v>323</v>
      </c>
      <c r="D191" s="78" t="s">
        <v>392</v>
      </c>
      <c r="E191" s="78" t="s">
        <v>196</v>
      </c>
      <c r="F191" s="78" t="s">
        <v>168</v>
      </c>
      <c r="G191" s="78" t="s">
        <v>340</v>
      </c>
      <c r="H191" s="79"/>
      <c r="I191" s="79"/>
      <c r="J191" s="79"/>
      <c r="K191" s="79"/>
      <c r="L191" s="79"/>
      <c r="M191" s="79"/>
      <c r="N191" s="79"/>
      <c r="O191" s="79"/>
      <c r="P191" s="80">
        <f>P192+P193</f>
        <v>0</v>
      </c>
      <c r="Q191" s="84">
        <f>R191+S191+T191+U191+V191</f>
        <v>0</v>
      </c>
      <c r="R191" s="84">
        <v>0</v>
      </c>
      <c r="S191" s="84"/>
      <c r="T191" s="84"/>
      <c r="U191" s="84">
        <v>0</v>
      </c>
      <c r="V191" s="84"/>
      <c r="W191" s="84"/>
      <c r="X191" s="84">
        <f>P191+Q191</f>
        <v>0</v>
      </c>
      <c r="Y191" s="84" t="s">
        <v>227</v>
      </c>
      <c r="Z191" s="84">
        <f t="shared" si="73"/>
        <v>0</v>
      </c>
      <c r="AA191" s="80">
        <f>AA192+AA193</f>
        <v>0</v>
      </c>
      <c r="AB191" s="90">
        <f t="shared" si="100"/>
        <v>0</v>
      </c>
      <c r="AC191" s="80">
        <f>AC192+AC193</f>
        <v>0</v>
      </c>
      <c r="AD191" s="81"/>
      <c r="AE191" s="81"/>
      <c r="AF191" s="81"/>
    </row>
    <row r="192" spans="1:32" s="82" customFormat="1" ht="25.5" hidden="1" x14ac:dyDescent="0.2">
      <c r="A192" s="87" t="s">
        <v>306</v>
      </c>
      <c r="B192" s="88"/>
      <c r="C192" s="89"/>
      <c r="D192" s="89"/>
      <c r="E192" s="89"/>
      <c r="F192" s="89"/>
      <c r="G192" s="89" t="s">
        <v>205</v>
      </c>
      <c r="H192" s="84">
        <v>0</v>
      </c>
      <c r="I192" s="84"/>
      <c r="J192" s="84"/>
      <c r="K192" s="84"/>
      <c r="L192" s="84"/>
      <c r="M192" s="84"/>
      <c r="N192" s="84"/>
      <c r="O192" s="84">
        <v>0</v>
      </c>
      <c r="P192" s="90">
        <v>0</v>
      </c>
      <c r="Q192" s="84">
        <f>R192+S192+T192+U192</f>
        <v>0</v>
      </c>
      <c r="R192" s="84"/>
      <c r="S192" s="84"/>
      <c r="T192" s="84"/>
      <c r="U192" s="84"/>
      <c r="V192" s="84"/>
      <c r="W192" s="84"/>
      <c r="X192" s="84">
        <f>P192+Q192</f>
        <v>0</v>
      </c>
      <c r="Y192" s="84"/>
      <c r="Z192" s="84">
        <f t="shared" si="73"/>
        <v>0</v>
      </c>
      <c r="AA192" s="90">
        <v>0</v>
      </c>
      <c r="AB192" s="90">
        <f t="shared" si="100"/>
        <v>0</v>
      </c>
      <c r="AC192" s="90">
        <v>0</v>
      </c>
      <c r="AD192" s="81"/>
      <c r="AE192" s="81"/>
      <c r="AF192" s="81"/>
    </row>
    <row r="193" spans="1:32" s="82" customFormat="1" ht="25.5" hidden="1" x14ac:dyDescent="0.2">
      <c r="A193" s="87" t="s">
        <v>397</v>
      </c>
      <c r="B193" s="88"/>
      <c r="C193" s="89"/>
      <c r="D193" s="89"/>
      <c r="E193" s="89"/>
      <c r="F193" s="89" t="s">
        <v>212</v>
      </c>
      <c r="G193" s="89" t="s">
        <v>213</v>
      </c>
      <c r="H193" s="84"/>
      <c r="I193" s="84"/>
      <c r="J193" s="84"/>
      <c r="K193" s="84"/>
      <c r="L193" s="84"/>
      <c r="M193" s="84"/>
      <c r="N193" s="84"/>
      <c r="O193" s="84"/>
      <c r="P193" s="90">
        <v>0</v>
      </c>
      <c r="Q193" s="84">
        <f>R193+S193+T193+U193+V193</f>
        <v>0</v>
      </c>
      <c r="R193" s="84">
        <v>0</v>
      </c>
      <c r="S193" s="84"/>
      <c r="T193" s="84"/>
      <c r="U193" s="84">
        <v>0</v>
      </c>
      <c r="V193" s="84"/>
      <c r="W193" s="84"/>
      <c r="X193" s="84">
        <f>P193+Q193</f>
        <v>0</v>
      </c>
      <c r="Y193" s="84"/>
      <c r="Z193" s="84">
        <f t="shared" si="73"/>
        <v>0</v>
      </c>
      <c r="AA193" s="90">
        <v>0</v>
      </c>
      <c r="AB193" s="90">
        <f t="shared" si="100"/>
        <v>0</v>
      </c>
      <c r="AC193" s="90">
        <v>0</v>
      </c>
      <c r="AD193" s="81"/>
      <c r="AE193" s="81"/>
      <c r="AF193" s="81"/>
    </row>
    <row r="194" spans="1:32" s="82" customFormat="1" x14ac:dyDescent="0.2">
      <c r="A194" s="87"/>
      <c r="B194" s="88"/>
      <c r="C194" s="89"/>
      <c r="D194" s="89"/>
      <c r="E194" s="89"/>
      <c r="F194" s="89"/>
      <c r="G194" s="89"/>
      <c r="H194" s="84"/>
      <c r="I194" s="84"/>
      <c r="J194" s="84"/>
      <c r="K194" s="84"/>
      <c r="L194" s="84"/>
      <c r="M194" s="84"/>
      <c r="N194" s="84"/>
      <c r="O194" s="84"/>
      <c r="P194" s="90"/>
      <c r="Q194" s="84"/>
      <c r="R194" s="84"/>
      <c r="S194" s="84"/>
      <c r="T194" s="84"/>
      <c r="U194" s="84"/>
      <c r="V194" s="84"/>
      <c r="W194" s="84"/>
      <c r="X194" s="84"/>
      <c r="Y194" s="84"/>
      <c r="Z194" s="84"/>
      <c r="AA194" s="90"/>
      <c r="AB194" s="90"/>
      <c r="AC194" s="90"/>
      <c r="AD194" s="81"/>
      <c r="AE194" s="81"/>
      <c r="AF194" s="81"/>
    </row>
    <row r="195" spans="1:32" s="82" customFormat="1" x14ac:dyDescent="0.2">
      <c r="A195" s="83" t="s">
        <v>398</v>
      </c>
      <c r="B195" s="77">
        <v>804</v>
      </c>
      <c r="C195" s="78" t="s">
        <v>399</v>
      </c>
      <c r="D195" s="78" t="s">
        <v>167</v>
      </c>
      <c r="E195" s="78" t="s">
        <v>168</v>
      </c>
      <c r="F195" s="78" t="s">
        <v>168</v>
      </c>
      <c r="G195" s="78"/>
      <c r="H195" s="79" t="e">
        <f t="shared" ref="H195:X196" si="101">H196</f>
        <v>#REF!</v>
      </c>
      <c r="I195" s="79" t="e">
        <f t="shared" si="101"/>
        <v>#REF!</v>
      </c>
      <c r="J195" s="79" t="e">
        <f t="shared" si="101"/>
        <v>#REF!</v>
      </c>
      <c r="K195" s="79" t="e">
        <f t="shared" si="101"/>
        <v>#REF!</v>
      </c>
      <c r="L195" s="79" t="e">
        <f t="shared" si="101"/>
        <v>#REF!</v>
      </c>
      <c r="M195" s="79" t="e">
        <f t="shared" si="101"/>
        <v>#REF!</v>
      </c>
      <c r="N195" s="79" t="e">
        <f t="shared" si="101"/>
        <v>#REF!</v>
      </c>
      <c r="O195" s="79" t="e">
        <f t="shared" si="101"/>
        <v>#REF!</v>
      </c>
      <c r="P195" s="80">
        <f t="shared" si="101"/>
        <v>1083600</v>
      </c>
      <c r="Q195" s="80" t="e">
        <f t="shared" si="101"/>
        <v>#REF!</v>
      </c>
      <c r="R195" s="80" t="e">
        <f t="shared" si="101"/>
        <v>#REF!</v>
      </c>
      <c r="S195" s="80" t="e">
        <f t="shared" si="101"/>
        <v>#REF!</v>
      </c>
      <c r="T195" s="80" t="e">
        <f t="shared" si="101"/>
        <v>#REF!</v>
      </c>
      <c r="U195" s="80" t="e">
        <f t="shared" si="101"/>
        <v>#REF!</v>
      </c>
      <c r="V195" s="80" t="e">
        <f t="shared" si="101"/>
        <v>#REF!</v>
      </c>
      <c r="W195" s="80" t="e">
        <f t="shared" si="101"/>
        <v>#REF!</v>
      </c>
      <c r="X195" s="80" t="e">
        <f t="shared" si="101"/>
        <v>#REF!</v>
      </c>
      <c r="Y195" s="84"/>
      <c r="Z195" s="84">
        <f t="shared" si="73"/>
        <v>0</v>
      </c>
      <c r="AA195" s="80">
        <f>AA196</f>
        <v>1083600</v>
      </c>
      <c r="AB195" s="80">
        <f t="shared" ref="AB195:AB196" si="102">AB196</f>
        <v>2.0008883439004421E-11</v>
      </c>
      <c r="AC195" s="80">
        <f>AC196</f>
        <v>1083599.9999999998</v>
      </c>
      <c r="AD195" s="81"/>
      <c r="AE195" s="81"/>
      <c r="AF195" s="81"/>
    </row>
    <row r="196" spans="1:32" s="82" customFormat="1" x14ac:dyDescent="0.2">
      <c r="A196" s="83" t="s">
        <v>400</v>
      </c>
      <c r="B196" s="77">
        <v>804</v>
      </c>
      <c r="C196" s="78" t="s">
        <v>401</v>
      </c>
      <c r="D196" s="78" t="s">
        <v>402</v>
      </c>
      <c r="E196" s="78" t="s">
        <v>168</v>
      </c>
      <c r="F196" s="78" t="s">
        <v>168</v>
      </c>
      <c r="G196" s="89"/>
      <c r="H196" s="79" t="e">
        <f t="shared" si="101"/>
        <v>#REF!</v>
      </c>
      <c r="I196" s="79" t="e">
        <f t="shared" si="101"/>
        <v>#REF!</v>
      </c>
      <c r="J196" s="79" t="e">
        <f t="shared" si="101"/>
        <v>#REF!</v>
      </c>
      <c r="K196" s="79" t="e">
        <f t="shared" si="101"/>
        <v>#REF!</v>
      </c>
      <c r="L196" s="79" t="e">
        <f t="shared" si="101"/>
        <v>#REF!</v>
      </c>
      <c r="M196" s="79" t="e">
        <f t="shared" si="101"/>
        <v>#REF!</v>
      </c>
      <c r="N196" s="79" t="e">
        <f t="shared" si="101"/>
        <v>#REF!</v>
      </c>
      <c r="O196" s="79" t="e">
        <f t="shared" si="101"/>
        <v>#REF!</v>
      </c>
      <c r="P196" s="80">
        <f t="shared" si="101"/>
        <v>1083600</v>
      </c>
      <c r="Q196" s="80" t="e">
        <f t="shared" si="101"/>
        <v>#REF!</v>
      </c>
      <c r="R196" s="80" t="e">
        <f t="shared" si="101"/>
        <v>#REF!</v>
      </c>
      <c r="S196" s="79" t="e">
        <f t="shared" si="101"/>
        <v>#REF!</v>
      </c>
      <c r="T196" s="79" t="e">
        <f t="shared" si="101"/>
        <v>#REF!</v>
      </c>
      <c r="U196" s="79" t="e">
        <f t="shared" si="101"/>
        <v>#REF!</v>
      </c>
      <c r="V196" s="79" t="e">
        <f t="shared" si="101"/>
        <v>#REF!</v>
      </c>
      <c r="W196" s="79" t="e">
        <f t="shared" si="101"/>
        <v>#REF!</v>
      </c>
      <c r="X196" s="84" t="e">
        <f>P196+Q196</f>
        <v>#REF!</v>
      </c>
      <c r="Y196" s="84"/>
      <c r="Z196" s="84">
        <f t="shared" si="73"/>
        <v>0</v>
      </c>
      <c r="AA196" s="80">
        <f>AA197</f>
        <v>1083600</v>
      </c>
      <c r="AB196" s="80">
        <f t="shared" si="102"/>
        <v>2.0008883439004421E-11</v>
      </c>
      <c r="AC196" s="80">
        <f>AC197</f>
        <v>1083599.9999999998</v>
      </c>
      <c r="AD196" s="81"/>
      <c r="AE196" s="81"/>
      <c r="AF196" s="81"/>
    </row>
    <row r="197" spans="1:32" s="135" customFormat="1" ht="38.25" x14ac:dyDescent="0.2">
      <c r="A197" s="76" t="s">
        <v>403</v>
      </c>
      <c r="B197" s="93">
        <v>804</v>
      </c>
      <c r="C197" s="94" t="s">
        <v>401</v>
      </c>
      <c r="D197" s="94" t="s">
        <v>402</v>
      </c>
      <c r="E197" s="94" t="s">
        <v>168</v>
      </c>
      <c r="F197" s="94" t="s">
        <v>168</v>
      </c>
      <c r="G197" s="124" t="s">
        <v>404</v>
      </c>
      <c r="H197" s="96" t="e">
        <f>H198+#REF!+#REF!</f>
        <v>#REF!</v>
      </c>
      <c r="I197" s="96" t="e">
        <f>I198+#REF!+#REF!</f>
        <v>#REF!</v>
      </c>
      <c r="J197" s="96" t="e">
        <f>J198+#REF!+#REF!</f>
        <v>#REF!</v>
      </c>
      <c r="K197" s="96" t="e">
        <f>K198+#REF!+#REF!</f>
        <v>#REF!</v>
      </c>
      <c r="L197" s="96" t="e">
        <f>L198+#REF!+#REF!</f>
        <v>#REF!</v>
      </c>
      <c r="M197" s="96" t="e">
        <f>M198+#REF!+#REF!</f>
        <v>#REF!</v>
      </c>
      <c r="N197" s="96" t="e">
        <f>N198+#REF!+#REF!</f>
        <v>#REF!</v>
      </c>
      <c r="O197" s="96" t="e">
        <f>O198+#REF!+#REF!</f>
        <v>#REF!</v>
      </c>
      <c r="P197" s="97">
        <f>P198+P209+P208+P207</f>
        <v>1083600</v>
      </c>
      <c r="Q197" s="97" t="e">
        <f>Q198+#REF!+#REF!+#REF!+Q209+Q208+#REF!+Q207</f>
        <v>#REF!</v>
      </c>
      <c r="R197" s="97" t="e">
        <f>R198+#REF!+#REF!+#REF!+R209+R208+#REF!+R207</f>
        <v>#REF!</v>
      </c>
      <c r="S197" s="97" t="e">
        <f>S198+#REF!+#REF!+#REF!+S209+S208+#REF!+S207</f>
        <v>#REF!</v>
      </c>
      <c r="T197" s="97" t="e">
        <f>T198+#REF!+#REF!+#REF!+T209+T208+#REF!+T207</f>
        <v>#REF!</v>
      </c>
      <c r="U197" s="97" t="e">
        <f>U198+#REF!+#REF!+#REF!+U209+U208+#REF!+U207</f>
        <v>#REF!</v>
      </c>
      <c r="V197" s="97" t="e">
        <f>V198+#REF!+#REF!+#REF!+V209+V208+#REF!+V207</f>
        <v>#REF!</v>
      </c>
      <c r="W197" s="97" t="e">
        <f>W198+#REF!+#REF!+#REF!+W209+W208+#REF!+W207</f>
        <v>#REF!</v>
      </c>
      <c r="X197" s="97" t="e">
        <f>X198+#REF!+#REF!+#REF!+X209+X208+#REF!+X207</f>
        <v>#REF!</v>
      </c>
      <c r="Y197" s="133"/>
      <c r="Z197" s="96">
        <f t="shared" si="73"/>
        <v>0</v>
      </c>
      <c r="AA197" s="97">
        <f t="shared" ref="AA197:AB197" si="103">AA198+AA209+AA208+AA207+AA200+AA206</f>
        <v>1083600</v>
      </c>
      <c r="AB197" s="97">
        <f t="shared" si="103"/>
        <v>2.0008883439004421E-11</v>
      </c>
      <c r="AC197" s="97">
        <f>AC198+AC209+AC208+AC207+AC200+AC206</f>
        <v>1083599.9999999998</v>
      </c>
      <c r="AD197" s="153"/>
      <c r="AE197" s="134"/>
      <c r="AF197" s="134"/>
    </row>
    <row r="198" spans="1:32" s="82" customFormat="1" x14ac:dyDescent="0.2">
      <c r="A198" s="83" t="s">
        <v>173</v>
      </c>
      <c r="B198" s="77">
        <v>804</v>
      </c>
      <c r="C198" s="78" t="s">
        <v>401</v>
      </c>
      <c r="D198" s="78" t="s">
        <v>402</v>
      </c>
      <c r="E198" s="78" t="s">
        <v>168</v>
      </c>
      <c r="F198" s="78" t="s">
        <v>174</v>
      </c>
      <c r="G198" s="78"/>
      <c r="H198" s="79" t="e">
        <f t="shared" ref="H198:Y198" si="104">H199+H201+H205</f>
        <v>#REF!</v>
      </c>
      <c r="I198" s="79" t="e">
        <f t="shared" si="104"/>
        <v>#REF!</v>
      </c>
      <c r="J198" s="79" t="e">
        <f t="shared" si="104"/>
        <v>#REF!</v>
      </c>
      <c r="K198" s="79" t="e">
        <f t="shared" si="104"/>
        <v>#REF!</v>
      </c>
      <c r="L198" s="79" t="e">
        <f t="shared" si="104"/>
        <v>#REF!</v>
      </c>
      <c r="M198" s="79" t="e">
        <f t="shared" si="104"/>
        <v>#REF!</v>
      </c>
      <c r="N198" s="79" t="e">
        <f t="shared" si="104"/>
        <v>#REF!</v>
      </c>
      <c r="O198" s="79" t="e">
        <f t="shared" si="104"/>
        <v>#REF!</v>
      </c>
      <c r="P198" s="80">
        <f t="shared" si="104"/>
        <v>544706.36</v>
      </c>
      <c r="Q198" s="80">
        <f t="shared" si="104"/>
        <v>0</v>
      </c>
      <c r="R198" s="80">
        <f t="shared" si="104"/>
        <v>0</v>
      </c>
      <c r="S198" s="80">
        <f t="shared" si="104"/>
        <v>0</v>
      </c>
      <c r="T198" s="80">
        <f t="shared" si="104"/>
        <v>0</v>
      </c>
      <c r="U198" s="80">
        <f t="shared" si="104"/>
        <v>0</v>
      </c>
      <c r="V198" s="80">
        <f t="shared" si="104"/>
        <v>0</v>
      </c>
      <c r="W198" s="80">
        <f t="shared" si="104"/>
        <v>0</v>
      </c>
      <c r="X198" s="80">
        <f t="shared" si="104"/>
        <v>544706.36</v>
      </c>
      <c r="Y198" s="80">
        <f t="shared" si="104"/>
        <v>0</v>
      </c>
      <c r="Z198" s="80">
        <f t="shared" si="73"/>
        <v>177829.65000000002</v>
      </c>
      <c r="AA198" s="80">
        <f>AA199+AA201+AA205</f>
        <v>722536.01</v>
      </c>
      <c r="AB198" s="80">
        <f t="shared" ref="AB198:AC198" si="105">AB199+AB201+AB205</f>
        <v>126268.10000000003</v>
      </c>
      <c r="AC198" s="80">
        <f t="shared" si="105"/>
        <v>848804.11</v>
      </c>
      <c r="AD198" s="81"/>
      <c r="AE198" s="81"/>
      <c r="AF198" s="81"/>
    </row>
    <row r="199" spans="1:32" s="82" customFormat="1" x14ac:dyDescent="0.2">
      <c r="A199" s="87" t="s">
        <v>175</v>
      </c>
      <c r="B199" s="88">
        <v>804</v>
      </c>
      <c r="C199" s="89" t="s">
        <v>401</v>
      </c>
      <c r="D199" s="89" t="s">
        <v>402</v>
      </c>
      <c r="E199" s="89" t="s">
        <v>176</v>
      </c>
      <c r="F199" s="89" t="s">
        <v>177</v>
      </c>
      <c r="G199" s="126"/>
      <c r="H199" s="84">
        <f>452300-H205</f>
        <v>347888</v>
      </c>
      <c r="I199" s="84">
        <f>SUM(J199:M199)</f>
        <v>0</v>
      </c>
      <c r="J199" s="84"/>
      <c r="K199" s="84"/>
      <c r="L199" s="84"/>
      <c r="M199" s="84"/>
      <c r="N199" s="84">
        <f>H199+I199</f>
        <v>347888</v>
      </c>
      <c r="O199" s="84">
        <v>307065.57</v>
      </c>
      <c r="P199" s="90">
        <v>414175.39</v>
      </c>
      <c r="Q199" s="84">
        <f>R199+S199+T199+U199+V199+W199</f>
        <v>0</v>
      </c>
      <c r="R199" s="84">
        <v>0</v>
      </c>
      <c r="S199" s="84"/>
      <c r="T199" s="84"/>
      <c r="U199" s="84"/>
      <c r="V199" s="84"/>
      <c r="W199" s="84"/>
      <c r="X199" s="84">
        <f>P199+Q199</f>
        <v>414175.39</v>
      </c>
      <c r="Y199" s="84"/>
      <c r="Z199" s="84">
        <f t="shared" si="73"/>
        <v>58119.639999999956</v>
      </c>
      <c r="AA199" s="90">
        <f>407030.11+65264.92</f>
        <v>472295.02999999997</v>
      </c>
      <c r="AB199" s="90">
        <f t="shared" ref="AB199:AB209" si="106">AC199-AA199</f>
        <v>95493.850000000035</v>
      </c>
      <c r="AC199" s="90">
        <v>567788.88</v>
      </c>
      <c r="AD199" s="85"/>
      <c r="AE199" s="81"/>
      <c r="AF199" s="81"/>
    </row>
    <row r="200" spans="1:32" s="82" customFormat="1" x14ac:dyDescent="0.2">
      <c r="A200" s="87" t="s">
        <v>405</v>
      </c>
      <c r="B200" s="88">
        <v>804</v>
      </c>
      <c r="C200" s="89" t="s">
        <v>401</v>
      </c>
      <c r="D200" s="89" t="s">
        <v>402</v>
      </c>
      <c r="E200" s="89" t="s">
        <v>176</v>
      </c>
      <c r="F200" s="89" t="s">
        <v>182</v>
      </c>
      <c r="G200" s="126"/>
      <c r="H200" s="84"/>
      <c r="I200" s="84"/>
      <c r="J200" s="84"/>
      <c r="K200" s="84"/>
      <c r="L200" s="84"/>
      <c r="M200" s="84"/>
      <c r="N200" s="84"/>
      <c r="O200" s="84"/>
      <c r="P200" s="90"/>
      <c r="Q200" s="84"/>
      <c r="R200" s="84"/>
      <c r="S200" s="84"/>
      <c r="T200" s="84"/>
      <c r="U200" s="84"/>
      <c r="V200" s="84"/>
      <c r="W200" s="84"/>
      <c r="X200" s="84"/>
      <c r="Y200" s="84"/>
      <c r="Z200" s="84">
        <f t="shared" si="73"/>
        <v>7145.28</v>
      </c>
      <c r="AA200" s="90">
        <v>7145.28</v>
      </c>
      <c r="AB200" s="90">
        <f t="shared" si="106"/>
        <v>6407.64</v>
      </c>
      <c r="AC200" s="90">
        <v>13552.92</v>
      </c>
      <c r="AD200" s="81"/>
      <c r="AE200" s="81"/>
      <c r="AF200" s="81"/>
    </row>
    <row r="201" spans="1:32" s="82" customFormat="1" x14ac:dyDescent="0.2">
      <c r="A201" s="87" t="s">
        <v>406</v>
      </c>
      <c r="B201" s="88">
        <v>804</v>
      </c>
      <c r="C201" s="89" t="s">
        <v>401</v>
      </c>
      <c r="D201" s="89" t="s">
        <v>402</v>
      </c>
      <c r="E201" s="89" t="s">
        <v>184</v>
      </c>
      <c r="F201" s="89" t="s">
        <v>168</v>
      </c>
      <c r="G201" s="126"/>
      <c r="H201" s="84" t="e">
        <f>#REF!+#REF!+H203</f>
        <v>#REF!</v>
      </c>
      <c r="I201" s="84" t="e">
        <f>#REF!+#REF!+I203</f>
        <v>#REF!</v>
      </c>
      <c r="J201" s="84" t="e">
        <f>#REF!+#REF!+J203</f>
        <v>#REF!</v>
      </c>
      <c r="K201" s="84" t="e">
        <f>#REF!+#REF!+K203</f>
        <v>#REF!</v>
      </c>
      <c r="L201" s="84" t="e">
        <f>#REF!+#REF!+L203</f>
        <v>#REF!</v>
      </c>
      <c r="M201" s="84" t="e">
        <f>#REF!+#REF!+M203</f>
        <v>#REF!</v>
      </c>
      <c r="N201" s="84" t="e">
        <f>#REF!+#REF!+N203</f>
        <v>#REF!</v>
      </c>
      <c r="O201" s="84" t="e">
        <f>#REF!+#REF!+O203</f>
        <v>#REF!</v>
      </c>
      <c r="P201" s="90">
        <f t="shared" ref="P201:Y201" si="107">P202+P203+P204</f>
        <v>5450</v>
      </c>
      <c r="Q201" s="90">
        <f t="shared" si="107"/>
        <v>0</v>
      </c>
      <c r="R201" s="90">
        <f t="shared" si="107"/>
        <v>0</v>
      </c>
      <c r="S201" s="90">
        <f t="shared" si="107"/>
        <v>0</v>
      </c>
      <c r="T201" s="90">
        <f t="shared" si="107"/>
        <v>0</v>
      </c>
      <c r="U201" s="90">
        <f t="shared" si="107"/>
        <v>0</v>
      </c>
      <c r="V201" s="90">
        <f t="shared" si="107"/>
        <v>0</v>
      </c>
      <c r="W201" s="90">
        <f t="shared" si="107"/>
        <v>0</v>
      </c>
      <c r="X201" s="90">
        <f t="shared" si="107"/>
        <v>5450</v>
      </c>
      <c r="Y201" s="90">
        <f t="shared" si="107"/>
        <v>0</v>
      </c>
      <c r="Z201" s="90">
        <f t="shared" si="73"/>
        <v>100000</v>
      </c>
      <c r="AA201" s="80">
        <f t="shared" ref="AA201:AB201" si="108">AA202+AA203+AA204</f>
        <v>105450</v>
      </c>
      <c r="AB201" s="80">
        <f t="shared" si="108"/>
        <v>0</v>
      </c>
      <c r="AC201" s="80">
        <f>AC202+AC203+AC204</f>
        <v>105450</v>
      </c>
      <c r="AD201" s="81"/>
      <c r="AE201" s="81"/>
      <c r="AF201" s="81"/>
    </row>
    <row r="202" spans="1:32" s="82" customFormat="1" x14ac:dyDescent="0.2">
      <c r="A202" s="91" t="s">
        <v>407</v>
      </c>
      <c r="B202" s="101">
        <v>804</v>
      </c>
      <c r="C202" s="89" t="s">
        <v>401</v>
      </c>
      <c r="D202" s="89" t="s">
        <v>402</v>
      </c>
      <c r="E202" s="89" t="s">
        <v>184</v>
      </c>
      <c r="F202" s="89" t="s">
        <v>185</v>
      </c>
      <c r="G202" s="126"/>
      <c r="H202" s="84"/>
      <c r="I202" s="84"/>
      <c r="J202" s="84"/>
      <c r="K202" s="84"/>
      <c r="L202" s="84"/>
      <c r="M202" s="84"/>
      <c r="N202" s="84"/>
      <c r="O202" s="84"/>
      <c r="P202" s="90">
        <v>850</v>
      </c>
      <c r="Q202" s="84">
        <f>R202+S202+T202+U202+V202</f>
        <v>0</v>
      </c>
      <c r="R202" s="84">
        <v>0</v>
      </c>
      <c r="S202" s="84"/>
      <c r="T202" s="84"/>
      <c r="U202" s="84"/>
      <c r="V202" s="84"/>
      <c r="W202" s="84"/>
      <c r="X202" s="84">
        <f t="shared" ref="X202:X209" si="109">P202+Q202</f>
        <v>850</v>
      </c>
      <c r="Y202" s="84"/>
      <c r="Z202" s="84">
        <f t="shared" si="73"/>
        <v>0</v>
      </c>
      <c r="AA202" s="90">
        <v>850</v>
      </c>
      <c r="AB202" s="90">
        <f t="shared" si="106"/>
        <v>0</v>
      </c>
      <c r="AC202" s="90">
        <v>850</v>
      </c>
      <c r="AD202" s="81"/>
      <c r="AE202" s="81"/>
      <c r="AF202" s="81"/>
    </row>
    <row r="203" spans="1:32" s="82" customFormat="1" x14ac:dyDescent="0.2">
      <c r="A203" s="92" t="s">
        <v>220</v>
      </c>
      <c r="B203" s="95">
        <v>804</v>
      </c>
      <c r="C203" s="89" t="s">
        <v>401</v>
      </c>
      <c r="D203" s="89" t="s">
        <v>402</v>
      </c>
      <c r="E203" s="89" t="s">
        <v>184</v>
      </c>
      <c r="F203" s="89" t="s">
        <v>221</v>
      </c>
      <c r="G203" s="126"/>
      <c r="H203" s="84">
        <v>0</v>
      </c>
      <c r="I203" s="84">
        <f>SUM(J203:M203)</f>
        <v>0</v>
      </c>
      <c r="J203" s="84">
        <v>0</v>
      </c>
      <c r="K203" s="84">
        <v>0</v>
      </c>
      <c r="L203" s="84">
        <v>0</v>
      </c>
      <c r="M203" s="84">
        <v>0</v>
      </c>
      <c r="N203" s="84">
        <f>H203+I203</f>
        <v>0</v>
      </c>
      <c r="O203" s="84">
        <v>0</v>
      </c>
      <c r="P203" s="90">
        <v>0</v>
      </c>
      <c r="Q203" s="84">
        <f>R203+S203+T203+U203+V203</f>
        <v>0</v>
      </c>
      <c r="R203" s="84">
        <v>0</v>
      </c>
      <c r="S203" s="84"/>
      <c r="T203" s="84"/>
      <c r="U203" s="84"/>
      <c r="V203" s="84"/>
      <c r="W203" s="84"/>
      <c r="X203" s="84">
        <f t="shared" si="109"/>
        <v>0</v>
      </c>
      <c r="Y203" s="84"/>
      <c r="Z203" s="84">
        <f t="shared" ref="Z203:Z267" si="110">AA203-P203</f>
        <v>100000</v>
      </c>
      <c r="AA203" s="90">
        <v>100000</v>
      </c>
      <c r="AB203" s="90">
        <f t="shared" si="106"/>
        <v>0</v>
      </c>
      <c r="AC203" s="90">
        <v>100000</v>
      </c>
      <c r="AD203" s="81"/>
      <c r="AE203" s="81"/>
      <c r="AF203" s="81"/>
    </row>
    <row r="204" spans="1:32" s="82" customFormat="1" ht="25.5" x14ac:dyDescent="0.2">
      <c r="A204" s="91" t="s">
        <v>408</v>
      </c>
      <c r="B204" s="95">
        <v>804</v>
      </c>
      <c r="C204" s="89" t="s">
        <v>401</v>
      </c>
      <c r="D204" s="89" t="s">
        <v>402</v>
      </c>
      <c r="E204" s="89" t="s">
        <v>184</v>
      </c>
      <c r="F204" s="89" t="s">
        <v>187</v>
      </c>
      <c r="G204" s="126"/>
      <c r="H204" s="84"/>
      <c r="I204" s="84"/>
      <c r="J204" s="84"/>
      <c r="K204" s="84"/>
      <c r="L204" s="84"/>
      <c r="M204" s="84"/>
      <c r="N204" s="84"/>
      <c r="O204" s="84"/>
      <c r="P204" s="90">
        <v>4600</v>
      </c>
      <c r="Q204" s="84">
        <f>R204+S204+T204+U204+V204</f>
        <v>0</v>
      </c>
      <c r="R204" s="84">
        <v>0</v>
      </c>
      <c r="S204" s="84"/>
      <c r="T204" s="84"/>
      <c r="U204" s="84"/>
      <c r="V204" s="84"/>
      <c r="W204" s="84"/>
      <c r="X204" s="84">
        <f t="shared" si="109"/>
        <v>4600</v>
      </c>
      <c r="Y204" s="84"/>
      <c r="Z204" s="84">
        <f t="shared" si="110"/>
        <v>0</v>
      </c>
      <c r="AA204" s="90">
        <v>4600</v>
      </c>
      <c r="AB204" s="90">
        <f t="shared" si="106"/>
        <v>0</v>
      </c>
      <c r="AC204" s="90">
        <v>4600</v>
      </c>
      <c r="AD204" s="81"/>
      <c r="AE204" s="81"/>
      <c r="AF204" s="81"/>
    </row>
    <row r="205" spans="1:32" s="82" customFormat="1" x14ac:dyDescent="0.2">
      <c r="A205" s="87" t="s">
        <v>178</v>
      </c>
      <c r="B205" s="88">
        <v>804</v>
      </c>
      <c r="C205" s="89" t="s">
        <v>401</v>
      </c>
      <c r="D205" s="89" t="s">
        <v>402</v>
      </c>
      <c r="E205" s="89" t="s">
        <v>179</v>
      </c>
      <c r="F205" s="89" t="s">
        <v>180</v>
      </c>
      <c r="G205" s="126"/>
      <c r="H205" s="84">
        <v>104412</v>
      </c>
      <c r="I205" s="84"/>
      <c r="J205" s="84"/>
      <c r="K205" s="84"/>
      <c r="L205" s="84"/>
      <c r="M205" s="84"/>
      <c r="N205" s="84">
        <f>H205+I205</f>
        <v>104412</v>
      </c>
      <c r="O205" s="84">
        <v>92734.43</v>
      </c>
      <c r="P205" s="90">
        <f>125080.97</f>
        <v>125080.97</v>
      </c>
      <c r="Q205" s="84">
        <f>R205+S205+T205+U205+V205+W205</f>
        <v>0</v>
      </c>
      <c r="R205" s="84">
        <v>0</v>
      </c>
      <c r="S205" s="84"/>
      <c r="T205" s="84"/>
      <c r="U205" s="84"/>
      <c r="V205" s="84"/>
      <c r="W205" s="84"/>
      <c r="X205" s="84">
        <f t="shared" si="109"/>
        <v>125080.97</v>
      </c>
      <c r="Y205" s="84"/>
      <c r="Z205" s="84">
        <f t="shared" si="110"/>
        <v>19710.010000000009</v>
      </c>
      <c r="AA205" s="90">
        <f>125080.97+19710.01</f>
        <v>144790.98000000001</v>
      </c>
      <c r="AB205" s="90">
        <f t="shared" si="106"/>
        <v>30774.25</v>
      </c>
      <c r="AC205" s="90">
        <v>175565.23</v>
      </c>
      <c r="AD205" s="85"/>
      <c r="AE205" s="81"/>
      <c r="AF205" s="81"/>
    </row>
    <row r="206" spans="1:32" s="82" customFormat="1" x14ac:dyDescent="0.2">
      <c r="A206" s="87" t="s">
        <v>569</v>
      </c>
      <c r="B206" s="95">
        <v>804</v>
      </c>
      <c r="C206" s="89" t="s">
        <v>401</v>
      </c>
      <c r="D206" s="89" t="s">
        <v>402</v>
      </c>
      <c r="E206" s="89" t="s">
        <v>196</v>
      </c>
      <c r="F206" s="89" t="s">
        <v>229</v>
      </c>
      <c r="G206" s="126"/>
      <c r="H206" s="84"/>
      <c r="I206" s="84"/>
      <c r="J206" s="84"/>
      <c r="K206" s="84"/>
      <c r="L206" s="84"/>
      <c r="M206" s="84"/>
      <c r="N206" s="84"/>
      <c r="O206" s="84"/>
      <c r="P206" s="90"/>
      <c r="Q206" s="84"/>
      <c r="R206" s="84"/>
      <c r="S206" s="84"/>
      <c r="T206" s="84"/>
      <c r="U206" s="84"/>
      <c r="V206" s="84"/>
      <c r="W206" s="84"/>
      <c r="X206" s="84"/>
      <c r="Y206" s="84"/>
      <c r="Z206" s="84"/>
      <c r="AA206" s="90">
        <v>0</v>
      </c>
      <c r="AB206" s="90">
        <f t="shared" si="106"/>
        <v>8769.9</v>
      </c>
      <c r="AC206" s="90">
        <v>8769.9</v>
      </c>
      <c r="AD206" s="85"/>
      <c r="AE206" s="81"/>
      <c r="AF206" s="81"/>
    </row>
    <row r="207" spans="1:32" s="82" customFormat="1" x14ac:dyDescent="0.2">
      <c r="A207" s="91" t="s">
        <v>257</v>
      </c>
      <c r="B207" s="95">
        <v>804</v>
      </c>
      <c r="C207" s="89" t="s">
        <v>401</v>
      </c>
      <c r="D207" s="89" t="s">
        <v>402</v>
      </c>
      <c r="E207" s="89" t="s">
        <v>207</v>
      </c>
      <c r="F207" s="89" t="s">
        <v>187</v>
      </c>
      <c r="G207" s="126"/>
      <c r="H207" s="84"/>
      <c r="I207" s="84"/>
      <c r="J207" s="84"/>
      <c r="K207" s="84"/>
      <c r="L207" s="84"/>
      <c r="M207" s="84"/>
      <c r="N207" s="84"/>
      <c r="O207" s="84"/>
      <c r="P207" s="90">
        <f>10000+20000</f>
        <v>30000</v>
      </c>
      <c r="Q207" s="84">
        <f>R207+S207+T207+U207+V207+W207</f>
        <v>0</v>
      </c>
      <c r="R207" s="84"/>
      <c r="S207" s="84"/>
      <c r="T207" s="84"/>
      <c r="U207" s="84"/>
      <c r="V207" s="84"/>
      <c r="W207" s="84">
        <v>0</v>
      </c>
      <c r="X207" s="84">
        <f t="shared" si="109"/>
        <v>30000</v>
      </c>
      <c r="Y207" s="84"/>
      <c r="Z207" s="84">
        <f t="shared" si="110"/>
        <v>0</v>
      </c>
      <c r="AA207" s="90">
        <f>10000+20000</f>
        <v>30000</v>
      </c>
      <c r="AB207" s="90">
        <f t="shared" si="106"/>
        <v>0</v>
      </c>
      <c r="AC207" s="90">
        <f>10000+20000</f>
        <v>30000</v>
      </c>
      <c r="AD207" s="81"/>
      <c r="AE207" s="81"/>
      <c r="AF207" s="81"/>
    </row>
    <row r="208" spans="1:32" s="82" customFormat="1" x14ac:dyDescent="0.2">
      <c r="A208" s="87" t="s">
        <v>202</v>
      </c>
      <c r="B208" s="95">
        <v>804</v>
      </c>
      <c r="C208" s="89" t="s">
        <v>401</v>
      </c>
      <c r="D208" s="89" t="s">
        <v>402</v>
      </c>
      <c r="E208" s="89" t="s">
        <v>207</v>
      </c>
      <c r="F208" s="89" t="s">
        <v>208</v>
      </c>
      <c r="G208" s="126"/>
      <c r="H208" s="84"/>
      <c r="I208" s="84"/>
      <c r="J208" s="84"/>
      <c r="K208" s="84"/>
      <c r="L208" s="84"/>
      <c r="M208" s="84"/>
      <c r="N208" s="84"/>
      <c r="O208" s="84"/>
      <c r="P208" s="90">
        <f>50000</f>
        <v>50000</v>
      </c>
      <c r="Q208" s="84">
        <f>R208+S208+T208+U208+V208+W208</f>
        <v>0</v>
      </c>
      <c r="R208" s="84">
        <v>0</v>
      </c>
      <c r="S208" s="84"/>
      <c r="T208" s="84"/>
      <c r="U208" s="84"/>
      <c r="V208" s="84"/>
      <c r="W208" s="84"/>
      <c r="X208" s="84">
        <f t="shared" si="109"/>
        <v>50000</v>
      </c>
      <c r="Y208" s="84"/>
      <c r="Z208" s="84">
        <f t="shared" si="110"/>
        <v>0</v>
      </c>
      <c r="AA208" s="90">
        <f>50000</f>
        <v>50000</v>
      </c>
      <c r="AB208" s="90">
        <f t="shared" si="106"/>
        <v>0</v>
      </c>
      <c r="AC208" s="90">
        <f>50000</f>
        <v>50000</v>
      </c>
      <c r="AD208" s="81"/>
      <c r="AE208" s="81"/>
      <c r="AF208" s="81"/>
    </row>
    <row r="209" spans="1:32" s="82" customFormat="1" x14ac:dyDescent="0.2">
      <c r="A209" s="87" t="s">
        <v>202</v>
      </c>
      <c r="B209" s="95">
        <v>804</v>
      </c>
      <c r="C209" s="89" t="s">
        <v>401</v>
      </c>
      <c r="D209" s="89" t="s">
        <v>402</v>
      </c>
      <c r="E209" s="89" t="s">
        <v>196</v>
      </c>
      <c r="F209" s="89" t="s">
        <v>208</v>
      </c>
      <c r="G209" s="126"/>
      <c r="H209" s="84"/>
      <c r="I209" s="84"/>
      <c r="J209" s="84"/>
      <c r="K209" s="84"/>
      <c r="L209" s="84"/>
      <c r="M209" s="84"/>
      <c r="N209" s="84"/>
      <c r="O209" s="84"/>
      <c r="P209" s="90">
        <f>71856.92+51100+30000-33763.28+47100+58500+164900+119200-50000</f>
        <v>458893.64</v>
      </c>
      <c r="Q209" s="84">
        <f>R209+S209+T209+U209+V209</f>
        <v>0</v>
      </c>
      <c r="R209" s="84">
        <v>0</v>
      </c>
      <c r="S209" s="84"/>
      <c r="T209" s="84"/>
      <c r="U209" s="84"/>
      <c r="V209" s="84"/>
      <c r="W209" s="84"/>
      <c r="X209" s="84">
        <f t="shared" si="109"/>
        <v>458893.64</v>
      </c>
      <c r="Y209" s="84"/>
      <c r="Z209" s="84">
        <f t="shared" si="110"/>
        <v>-184974.93</v>
      </c>
      <c r="AA209" s="90">
        <f>358893.64-84974.93</f>
        <v>273918.71000000002</v>
      </c>
      <c r="AB209" s="90">
        <f t="shared" si="106"/>
        <v>-141445.64000000001</v>
      </c>
      <c r="AC209" s="90">
        <f>40000+92473.07</f>
        <v>132473.07</v>
      </c>
      <c r="AD209" s="81"/>
      <c r="AE209" s="81"/>
      <c r="AF209" s="81"/>
    </row>
    <row r="210" spans="1:32" s="82" customFormat="1" ht="25.5" x14ac:dyDescent="0.2">
      <c r="A210" s="154" t="s">
        <v>409</v>
      </c>
      <c r="B210" s="130">
        <v>804</v>
      </c>
      <c r="C210" s="78" t="s">
        <v>410</v>
      </c>
      <c r="D210" s="78" t="s">
        <v>167</v>
      </c>
      <c r="E210" s="78" t="s">
        <v>168</v>
      </c>
      <c r="F210" s="78" t="s">
        <v>168</v>
      </c>
      <c r="G210" s="78"/>
      <c r="H210" s="79" t="e">
        <f>H211+H213</f>
        <v>#REF!</v>
      </c>
      <c r="I210" s="79" t="e">
        <f>#REF!+I213</f>
        <v>#REF!</v>
      </c>
      <c r="J210" s="79" t="e">
        <f>#REF!+J213</f>
        <v>#REF!</v>
      </c>
      <c r="K210" s="79" t="e">
        <f>#REF!+K213</f>
        <v>#REF!</v>
      </c>
      <c r="L210" s="79" t="e">
        <f>#REF!+L213</f>
        <v>#REF!</v>
      </c>
      <c r="M210" s="79" t="e">
        <f>#REF!+M213</f>
        <v>#REF!</v>
      </c>
      <c r="N210" s="79" t="e">
        <f>#REF!+N213</f>
        <v>#REF!</v>
      </c>
      <c r="O210" s="79" t="e">
        <f t="shared" ref="O210:V210" si="111">O211+O213</f>
        <v>#REF!</v>
      </c>
      <c r="P210" s="80">
        <f t="shared" si="111"/>
        <v>327100</v>
      </c>
      <c r="Q210" s="80" t="e">
        <f t="shared" si="111"/>
        <v>#REF!</v>
      </c>
      <c r="R210" s="80" t="e">
        <f t="shared" si="111"/>
        <v>#REF!</v>
      </c>
      <c r="S210" s="80" t="e">
        <f t="shared" si="111"/>
        <v>#REF!</v>
      </c>
      <c r="T210" s="80" t="e">
        <f t="shared" si="111"/>
        <v>#REF!</v>
      </c>
      <c r="U210" s="80" t="e">
        <f t="shared" si="111"/>
        <v>#REF!</v>
      </c>
      <c r="V210" s="80" t="e">
        <f t="shared" si="111"/>
        <v>#REF!</v>
      </c>
      <c r="W210" s="80">
        <f>W211</f>
        <v>0</v>
      </c>
      <c r="X210" s="80" t="e">
        <f>X211+X213</f>
        <v>#REF!</v>
      </c>
      <c r="Y210" s="84"/>
      <c r="Z210" s="79">
        <f t="shared" si="110"/>
        <v>9675699.4399999995</v>
      </c>
      <c r="AA210" s="80">
        <f>AA211+AA213</f>
        <v>10002799.439999999</v>
      </c>
      <c r="AB210" s="80">
        <f t="shared" ref="AB210" si="112">AB211+AB213</f>
        <v>417402.43000000017</v>
      </c>
      <c r="AC210" s="80">
        <f>AC211+AC213</f>
        <v>10420201.869999999</v>
      </c>
      <c r="AD210" s="81"/>
      <c r="AE210" s="81"/>
      <c r="AF210" s="81"/>
    </row>
    <row r="211" spans="1:32" s="82" customFormat="1" x14ac:dyDescent="0.2">
      <c r="A211" s="154" t="s">
        <v>411</v>
      </c>
      <c r="B211" s="130">
        <v>804</v>
      </c>
      <c r="C211" s="78" t="s">
        <v>412</v>
      </c>
      <c r="D211" s="78" t="s">
        <v>413</v>
      </c>
      <c r="E211" s="78" t="s">
        <v>196</v>
      </c>
      <c r="F211" s="78" t="s">
        <v>224</v>
      </c>
      <c r="G211" s="78"/>
      <c r="H211" s="79">
        <f>H212</f>
        <v>61500</v>
      </c>
      <c r="I211" s="79"/>
      <c r="J211" s="79"/>
      <c r="K211" s="79"/>
      <c r="L211" s="79"/>
      <c r="M211" s="79"/>
      <c r="N211" s="79"/>
      <c r="O211" s="79">
        <f t="shared" ref="O211:V211" si="113">O212</f>
        <v>45564.91</v>
      </c>
      <c r="P211" s="80">
        <f t="shared" si="113"/>
        <v>27100</v>
      </c>
      <c r="Q211" s="80">
        <f t="shared" si="113"/>
        <v>0</v>
      </c>
      <c r="R211" s="80">
        <f t="shared" si="113"/>
        <v>0</v>
      </c>
      <c r="S211" s="80">
        <f t="shared" si="113"/>
        <v>0</v>
      </c>
      <c r="T211" s="80">
        <f t="shared" si="113"/>
        <v>0</v>
      </c>
      <c r="U211" s="80">
        <f t="shared" si="113"/>
        <v>0</v>
      </c>
      <c r="V211" s="80">
        <f t="shared" si="113"/>
        <v>0</v>
      </c>
      <c r="W211" s="80">
        <f>W212</f>
        <v>0</v>
      </c>
      <c r="X211" s="80">
        <f>X212</f>
        <v>27100</v>
      </c>
      <c r="Y211" s="84"/>
      <c r="Z211" s="84">
        <f t="shared" si="110"/>
        <v>0</v>
      </c>
      <c r="AA211" s="80">
        <f>AA212</f>
        <v>27100</v>
      </c>
      <c r="AB211" s="80">
        <f t="shared" ref="AB211" si="114">AB212</f>
        <v>-5100</v>
      </c>
      <c r="AC211" s="80">
        <f>AC212</f>
        <v>22000</v>
      </c>
      <c r="AD211" s="81"/>
      <c r="AE211" s="81"/>
      <c r="AF211" s="81"/>
    </row>
    <row r="212" spans="1:32" s="82" customFormat="1" x14ac:dyDescent="0.2">
      <c r="A212" s="91" t="s">
        <v>414</v>
      </c>
      <c r="B212" s="101">
        <v>804</v>
      </c>
      <c r="C212" s="115" t="s">
        <v>412</v>
      </c>
      <c r="D212" s="115" t="s">
        <v>413</v>
      </c>
      <c r="E212" s="115" t="s">
        <v>196</v>
      </c>
      <c r="F212" s="89" t="s">
        <v>187</v>
      </c>
      <c r="G212" s="126"/>
      <c r="H212" s="84">
        <v>61500</v>
      </c>
      <c r="I212" s="79"/>
      <c r="J212" s="79"/>
      <c r="K212" s="79"/>
      <c r="L212" s="79"/>
      <c r="M212" s="79"/>
      <c r="N212" s="79"/>
      <c r="O212" s="84">
        <v>45564.91</v>
      </c>
      <c r="P212" s="90">
        <v>27100</v>
      </c>
      <c r="Q212" s="84">
        <f>R212+S212+T212+U212+V212+W212</f>
        <v>0</v>
      </c>
      <c r="R212" s="84"/>
      <c r="S212" s="84">
        <v>0</v>
      </c>
      <c r="T212" s="84"/>
      <c r="U212" s="84"/>
      <c r="V212" s="84">
        <v>0</v>
      </c>
      <c r="W212" s="84">
        <v>0</v>
      </c>
      <c r="X212" s="84">
        <f>P212+Q212</f>
        <v>27100</v>
      </c>
      <c r="Y212" s="84"/>
      <c r="Z212" s="84">
        <f t="shared" si="110"/>
        <v>0</v>
      </c>
      <c r="AA212" s="90">
        <v>27100</v>
      </c>
      <c r="AB212" s="90">
        <f t="shared" ref="AB212" si="115">AC212-AA212</f>
        <v>-5100</v>
      </c>
      <c r="AC212" s="90">
        <v>22000</v>
      </c>
      <c r="AD212" s="81"/>
      <c r="AE212" s="81"/>
      <c r="AF212" s="81"/>
    </row>
    <row r="213" spans="1:32" s="82" customFormat="1" ht="38.25" x14ac:dyDescent="0.2">
      <c r="A213" s="76" t="s">
        <v>415</v>
      </c>
      <c r="B213" s="130">
        <v>804</v>
      </c>
      <c r="C213" s="78" t="s">
        <v>416</v>
      </c>
      <c r="D213" s="78" t="s">
        <v>167</v>
      </c>
      <c r="E213" s="78" t="s">
        <v>168</v>
      </c>
      <c r="F213" s="78" t="s">
        <v>168</v>
      </c>
      <c r="G213" s="78"/>
      <c r="H213" s="79" t="e">
        <f>H216+H227</f>
        <v>#REF!</v>
      </c>
      <c r="I213" s="79" t="e">
        <f t="shared" ref="I213:N213" si="116">I217+I227</f>
        <v>#REF!</v>
      </c>
      <c r="J213" s="79" t="e">
        <f t="shared" si="116"/>
        <v>#REF!</v>
      </c>
      <c r="K213" s="79" t="e">
        <f t="shared" si="116"/>
        <v>#REF!</v>
      </c>
      <c r="L213" s="79" t="e">
        <f t="shared" si="116"/>
        <v>#REF!</v>
      </c>
      <c r="M213" s="79" t="e">
        <f t="shared" si="116"/>
        <v>#REF!</v>
      </c>
      <c r="N213" s="79" t="e">
        <f t="shared" si="116"/>
        <v>#REF!</v>
      </c>
      <c r="O213" s="79" t="e">
        <f>O216+O227</f>
        <v>#REF!</v>
      </c>
      <c r="P213" s="80">
        <f>P214+P216+P218+P223+P227</f>
        <v>300000</v>
      </c>
      <c r="Q213" s="80" t="e">
        <f>Q214+Q216+Q218+#REF!+Q223</f>
        <v>#REF!</v>
      </c>
      <c r="R213" s="80" t="e">
        <f>R214+R216+R218+#REF!+R223</f>
        <v>#REF!</v>
      </c>
      <c r="S213" s="80" t="e">
        <f>S214+S216+S218+#REF!+S223</f>
        <v>#REF!</v>
      </c>
      <c r="T213" s="80" t="e">
        <f>T214+T216+T218+#REF!+T223</f>
        <v>#REF!</v>
      </c>
      <c r="U213" s="80" t="e">
        <f>U214+U216+U218+#REF!+U223</f>
        <v>#REF!</v>
      </c>
      <c r="V213" s="80" t="e">
        <f>V214+V216+V218+#REF!+V223</f>
        <v>#REF!</v>
      </c>
      <c r="W213" s="80" t="e">
        <f>W214+W216+W218+#REF!+W223</f>
        <v>#REF!</v>
      </c>
      <c r="X213" s="80" t="e">
        <f>X214+X216+X218+#REF!+X223</f>
        <v>#REF!</v>
      </c>
      <c r="Y213" s="80" t="e">
        <f>Y214+Y216+Y218+#REF!+Y223</f>
        <v>#REF!</v>
      </c>
      <c r="Z213" s="80">
        <f t="shared" si="110"/>
        <v>9675699.4399999995</v>
      </c>
      <c r="AA213" s="80">
        <f>AA214+AA216+AA218+AA223+AA220+AA227</f>
        <v>9975699.4399999995</v>
      </c>
      <c r="AB213" s="80">
        <f t="shared" ref="AB213:AC213" si="117">AB214+AB216+AB218+AB223+AB220+AB227</f>
        <v>422502.43000000017</v>
      </c>
      <c r="AC213" s="80">
        <f t="shared" si="117"/>
        <v>10398201.869999999</v>
      </c>
      <c r="AD213" s="81"/>
      <c r="AE213" s="81"/>
      <c r="AF213" s="81"/>
    </row>
    <row r="214" spans="1:32" s="82" customFormat="1" hidden="1" x14ac:dyDescent="0.2">
      <c r="A214" s="155" t="s">
        <v>249</v>
      </c>
      <c r="B214" s="71"/>
      <c r="C214" s="94"/>
      <c r="D214" s="94" t="s">
        <v>417</v>
      </c>
      <c r="E214" s="94" t="s">
        <v>196</v>
      </c>
      <c r="F214" s="94" t="s">
        <v>246</v>
      </c>
      <c r="G214" s="94" t="s">
        <v>250</v>
      </c>
      <c r="H214" s="84"/>
      <c r="I214" s="84"/>
      <c r="J214" s="84"/>
      <c r="K214" s="84"/>
      <c r="L214" s="84"/>
      <c r="M214" s="84"/>
      <c r="N214" s="84"/>
      <c r="O214" s="84"/>
      <c r="P214" s="80">
        <v>0</v>
      </c>
      <c r="Q214" s="79">
        <f>R214+S214+T214+U214</f>
        <v>0</v>
      </c>
      <c r="R214" s="80">
        <v>0</v>
      </c>
      <c r="S214" s="80">
        <f>S215</f>
        <v>0</v>
      </c>
      <c r="T214" s="80">
        <f>T215</f>
        <v>0</v>
      </c>
      <c r="U214" s="80">
        <f>U215</f>
        <v>0</v>
      </c>
      <c r="V214" s="80">
        <f>V215</f>
        <v>0</v>
      </c>
      <c r="W214" s="80"/>
      <c r="X214" s="79">
        <f>P214+Q214</f>
        <v>0</v>
      </c>
      <c r="Y214" s="84"/>
      <c r="Z214" s="84">
        <f t="shared" si="110"/>
        <v>0</v>
      </c>
      <c r="AA214" s="80">
        <v>0</v>
      </c>
      <c r="AB214" s="80"/>
      <c r="AC214" s="80">
        <v>0</v>
      </c>
      <c r="AD214" s="81"/>
      <c r="AE214" s="81"/>
      <c r="AF214" s="81"/>
    </row>
    <row r="215" spans="1:32" s="82" customFormat="1" hidden="1" x14ac:dyDescent="0.2">
      <c r="A215" s="156" t="s">
        <v>418</v>
      </c>
      <c r="B215" s="71"/>
      <c r="C215" s="89"/>
      <c r="D215" s="89"/>
      <c r="E215" s="89"/>
      <c r="F215" s="89"/>
      <c r="G215" s="89" t="s">
        <v>250</v>
      </c>
      <c r="H215" s="84"/>
      <c r="I215" s="84"/>
      <c r="J215" s="84"/>
      <c r="K215" s="84"/>
      <c r="L215" s="84"/>
      <c r="M215" s="84"/>
      <c r="N215" s="84"/>
      <c r="O215" s="84"/>
      <c r="P215" s="90">
        <v>0</v>
      </c>
      <c r="Q215" s="79">
        <f>R215+S215+T215+U215</f>
        <v>0</v>
      </c>
      <c r="R215" s="84">
        <v>0</v>
      </c>
      <c r="S215" s="84"/>
      <c r="T215" s="84"/>
      <c r="U215" s="84"/>
      <c r="V215" s="84"/>
      <c r="W215" s="84"/>
      <c r="X215" s="84">
        <f>P215+Q215</f>
        <v>0</v>
      </c>
      <c r="Y215" s="84"/>
      <c r="Z215" s="84">
        <f t="shared" si="110"/>
        <v>0</v>
      </c>
      <c r="AA215" s="90">
        <v>0</v>
      </c>
      <c r="AB215" s="90"/>
      <c r="AC215" s="90">
        <v>0</v>
      </c>
      <c r="AD215" s="81"/>
      <c r="AE215" s="81"/>
      <c r="AF215" s="81"/>
    </row>
    <row r="216" spans="1:32" s="82" customFormat="1" hidden="1" x14ac:dyDescent="0.2">
      <c r="A216" s="83" t="s">
        <v>223</v>
      </c>
      <c r="B216" s="130"/>
      <c r="C216" s="78"/>
      <c r="D216" s="78" t="s">
        <v>419</v>
      </c>
      <c r="E216" s="78" t="s">
        <v>196</v>
      </c>
      <c r="F216" s="78" t="s">
        <v>187</v>
      </c>
      <c r="G216" s="78" t="s">
        <v>268</v>
      </c>
      <c r="H216" s="79">
        <f>H217</f>
        <v>130000</v>
      </c>
      <c r="I216" s="79"/>
      <c r="J216" s="79"/>
      <c r="K216" s="79"/>
      <c r="L216" s="79"/>
      <c r="M216" s="79"/>
      <c r="N216" s="79"/>
      <c r="O216" s="79">
        <f t="shared" ref="O216:V216" si="118">O217</f>
        <v>104000</v>
      </c>
      <c r="P216" s="80">
        <f t="shared" si="118"/>
        <v>0</v>
      </c>
      <c r="Q216" s="80">
        <f t="shared" si="118"/>
        <v>0</v>
      </c>
      <c r="R216" s="80">
        <f t="shared" si="118"/>
        <v>0</v>
      </c>
      <c r="S216" s="80">
        <f t="shared" si="118"/>
        <v>0</v>
      </c>
      <c r="T216" s="80">
        <f t="shared" si="118"/>
        <v>0</v>
      </c>
      <c r="U216" s="80">
        <f t="shared" si="118"/>
        <v>0</v>
      </c>
      <c r="V216" s="80">
        <f t="shared" si="118"/>
        <v>0</v>
      </c>
      <c r="W216" s="80"/>
      <c r="X216" s="80">
        <f>X217</f>
        <v>0</v>
      </c>
      <c r="Y216" s="84"/>
      <c r="Z216" s="84">
        <f t="shared" si="110"/>
        <v>0</v>
      </c>
      <c r="AA216" s="80">
        <f>AA217</f>
        <v>0</v>
      </c>
      <c r="AB216" s="80"/>
      <c r="AC216" s="80">
        <f>AC217</f>
        <v>0</v>
      </c>
      <c r="AD216" s="81"/>
      <c r="AE216" s="81"/>
      <c r="AF216" s="81"/>
    </row>
    <row r="217" spans="1:32" s="82" customFormat="1" hidden="1" x14ac:dyDescent="0.2">
      <c r="A217" s="92" t="s">
        <v>420</v>
      </c>
      <c r="B217" s="95"/>
      <c r="C217" s="89"/>
      <c r="D217" s="89"/>
      <c r="E217" s="89"/>
      <c r="F217" s="89"/>
      <c r="G217" s="89" t="s">
        <v>268</v>
      </c>
      <c r="H217" s="84">
        <v>130000</v>
      </c>
      <c r="I217" s="84">
        <f>SUM(J217:M217)</f>
        <v>0</v>
      </c>
      <c r="J217" s="84">
        <v>0</v>
      </c>
      <c r="K217" s="84"/>
      <c r="L217" s="84"/>
      <c r="M217" s="84"/>
      <c r="N217" s="84">
        <f>H217+I217</f>
        <v>130000</v>
      </c>
      <c r="O217" s="84">
        <f>130000*80%</f>
        <v>104000</v>
      </c>
      <c r="P217" s="90">
        <v>0</v>
      </c>
      <c r="Q217" s="84">
        <f>R217+S217+T217+U217+V217</f>
        <v>0</v>
      </c>
      <c r="R217" s="84"/>
      <c r="S217" s="84"/>
      <c r="T217" s="84"/>
      <c r="U217" s="84">
        <v>0</v>
      </c>
      <c r="V217" s="84"/>
      <c r="W217" s="84"/>
      <c r="X217" s="84">
        <f>P217+Q217</f>
        <v>0</v>
      </c>
      <c r="Y217" s="84"/>
      <c r="Z217" s="84">
        <f t="shared" si="110"/>
        <v>0</v>
      </c>
      <c r="AA217" s="90">
        <v>0</v>
      </c>
      <c r="AB217" s="90"/>
      <c r="AC217" s="90">
        <v>0</v>
      </c>
      <c r="AD217" s="81"/>
      <c r="AE217" s="81"/>
      <c r="AF217" s="81"/>
    </row>
    <row r="218" spans="1:32" s="82" customFormat="1" hidden="1" x14ac:dyDescent="0.2">
      <c r="A218" s="157" t="s">
        <v>421</v>
      </c>
      <c r="B218" s="88">
        <v>804</v>
      </c>
      <c r="C218" s="78" t="s">
        <v>416</v>
      </c>
      <c r="D218" s="78" t="s">
        <v>419</v>
      </c>
      <c r="E218" s="78" t="s">
        <v>196</v>
      </c>
      <c r="F218" s="78" t="s">
        <v>199</v>
      </c>
      <c r="G218" s="78" t="s">
        <v>340</v>
      </c>
      <c r="H218" s="84"/>
      <c r="I218" s="84"/>
      <c r="J218" s="84"/>
      <c r="K218" s="84"/>
      <c r="L218" s="84"/>
      <c r="M218" s="84"/>
      <c r="N218" s="84"/>
      <c r="O218" s="84"/>
      <c r="P218" s="80">
        <v>0</v>
      </c>
      <c r="Q218" s="79">
        <f>R218+S218+T218+U218+V218</f>
        <v>0</v>
      </c>
      <c r="R218" s="79"/>
      <c r="S218" s="79"/>
      <c r="T218" s="79"/>
      <c r="U218" s="79"/>
      <c r="V218" s="79"/>
      <c r="W218" s="79"/>
      <c r="X218" s="79">
        <f>P218+Q218</f>
        <v>0</v>
      </c>
      <c r="Y218" s="84"/>
      <c r="Z218" s="84">
        <f t="shared" si="110"/>
        <v>0</v>
      </c>
      <c r="AA218" s="80">
        <v>0</v>
      </c>
      <c r="AB218" s="80"/>
      <c r="AC218" s="80">
        <v>0</v>
      </c>
      <c r="AD218" s="81"/>
      <c r="AE218" s="81"/>
      <c r="AF218" s="81"/>
    </row>
    <row r="219" spans="1:32" s="82" customFormat="1" hidden="1" x14ac:dyDescent="0.2">
      <c r="A219" s="156"/>
      <c r="B219" s="71"/>
      <c r="C219" s="89"/>
      <c r="D219" s="89"/>
      <c r="E219" s="89"/>
      <c r="F219" s="89"/>
      <c r="G219" s="89" t="s">
        <v>201</v>
      </c>
      <c r="H219" s="84"/>
      <c r="I219" s="84"/>
      <c r="J219" s="84"/>
      <c r="K219" s="84"/>
      <c r="L219" s="84"/>
      <c r="M219" s="84"/>
      <c r="N219" s="84"/>
      <c r="O219" s="84"/>
      <c r="P219" s="90">
        <v>0</v>
      </c>
      <c r="Q219" s="84">
        <f>R219+S219+T219+U219</f>
        <v>0</v>
      </c>
      <c r="R219" s="84">
        <v>0</v>
      </c>
      <c r="S219" s="84"/>
      <c r="T219" s="84"/>
      <c r="U219" s="84"/>
      <c r="V219" s="84"/>
      <c r="W219" s="84"/>
      <c r="X219" s="84">
        <f>P219+Q219</f>
        <v>0</v>
      </c>
      <c r="Y219" s="84"/>
      <c r="Z219" s="84">
        <f t="shared" si="110"/>
        <v>0</v>
      </c>
      <c r="AA219" s="90">
        <v>0</v>
      </c>
      <c r="AB219" s="90"/>
      <c r="AC219" s="90">
        <v>0</v>
      </c>
      <c r="AD219" s="81"/>
      <c r="AE219" s="81"/>
      <c r="AF219" s="81"/>
    </row>
    <row r="220" spans="1:32" s="82" customFormat="1" x14ac:dyDescent="0.2">
      <c r="A220" s="158" t="s">
        <v>255</v>
      </c>
      <c r="B220" s="88">
        <v>804</v>
      </c>
      <c r="C220" s="89" t="s">
        <v>416</v>
      </c>
      <c r="D220" s="89" t="s">
        <v>422</v>
      </c>
      <c r="E220" s="89" t="s">
        <v>196</v>
      </c>
      <c r="F220" s="89" t="s">
        <v>187</v>
      </c>
      <c r="G220" s="89"/>
      <c r="H220" s="84"/>
      <c r="I220" s="84"/>
      <c r="J220" s="84"/>
      <c r="K220" s="84"/>
      <c r="L220" s="84"/>
      <c r="M220" s="84"/>
      <c r="N220" s="84"/>
      <c r="O220" s="84"/>
      <c r="P220" s="90">
        <f t="shared" ref="P220:Y220" si="119">SUM(P221:P222)</f>
        <v>0</v>
      </c>
      <c r="Q220" s="90">
        <f t="shared" si="119"/>
        <v>0</v>
      </c>
      <c r="R220" s="90">
        <f t="shared" si="119"/>
        <v>0</v>
      </c>
      <c r="S220" s="90">
        <f t="shared" si="119"/>
        <v>0</v>
      </c>
      <c r="T220" s="90">
        <f t="shared" si="119"/>
        <v>0</v>
      </c>
      <c r="U220" s="90">
        <f t="shared" si="119"/>
        <v>0</v>
      </c>
      <c r="V220" s="90">
        <f t="shared" si="119"/>
        <v>0</v>
      </c>
      <c r="W220" s="90">
        <f t="shared" si="119"/>
        <v>0</v>
      </c>
      <c r="X220" s="90">
        <f t="shared" si="119"/>
        <v>0</v>
      </c>
      <c r="Y220" s="90">
        <f t="shared" si="119"/>
        <v>0</v>
      </c>
      <c r="Z220" s="90">
        <f t="shared" si="110"/>
        <v>5047971.72</v>
      </c>
      <c r="AA220" s="80">
        <f>SUM(AA221:AA222)</f>
        <v>5047971.72</v>
      </c>
      <c r="AB220" s="80">
        <f t="shared" ref="AB220:AC220" si="120">SUM(AB221:AB222)</f>
        <v>24279.860000000335</v>
      </c>
      <c r="AC220" s="80">
        <f t="shared" si="120"/>
        <v>5072251.58</v>
      </c>
      <c r="AD220" s="81"/>
      <c r="AE220" s="81"/>
      <c r="AF220" s="81"/>
    </row>
    <row r="221" spans="1:32" s="82" customFormat="1" ht="25.5" customHeight="1" x14ac:dyDescent="0.2">
      <c r="A221" s="159" t="s">
        <v>423</v>
      </c>
      <c r="B221" s="88">
        <v>804</v>
      </c>
      <c r="C221" s="89" t="s">
        <v>416</v>
      </c>
      <c r="D221" s="89" t="s">
        <v>422</v>
      </c>
      <c r="E221" s="89" t="s">
        <v>196</v>
      </c>
      <c r="F221" s="89" t="s">
        <v>187</v>
      </c>
      <c r="G221" s="89" t="s">
        <v>378</v>
      </c>
      <c r="H221" s="84"/>
      <c r="I221" s="84"/>
      <c r="J221" s="84"/>
      <c r="K221" s="84"/>
      <c r="L221" s="84"/>
      <c r="M221" s="84"/>
      <c r="N221" s="84"/>
      <c r="O221" s="84"/>
      <c r="P221" s="90"/>
      <c r="Q221" s="84"/>
      <c r="R221" s="84"/>
      <c r="S221" s="84"/>
      <c r="T221" s="84"/>
      <c r="U221" s="84"/>
      <c r="V221" s="84"/>
      <c r="W221" s="84"/>
      <c r="X221" s="84"/>
      <c r="Y221" s="84"/>
      <c r="Z221" s="84">
        <f t="shared" si="110"/>
        <v>4855971.72</v>
      </c>
      <c r="AA221" s="90">
        <v>4855971.72</v>
      </c>
      <c r="AB221" s="90">
        <f t="shared" ref="AB221:AB231" si="121">AC221-AA221</f>
        <v>24279.860000000335</v>
      </c>
      <c r="AC221" s="90">
        <f>4855971.72--24279.86</f>
        <v>4880251.58</v>
      </c>
      <c r="AD221" s="81"/>
      <c r="AE221" s="81"/>
      <c r="AF221" s="81"/>
    </row>
    <row r="222" spans="1:32" s="82" customFormat="1" ht="65.25" customHeight="1" x14ac:dyDescent="0.2">
      <c r="A222" s="160" t="s">
        <v>424</v>
      </c>
      <c r="B222" s="87">
        <v>804</v>
      </c>
      <c r="C222" s="248" t="s">
        <v>416</v>
      </c>
      <c r="D222" s="248" t="s">
        <v>425</v>
      </c>
      <c r="E222" s="248" t="s">
        <v>196</v>
      </c>
      <c r="F222" s="248" t="s">
        <v>187</v>
      </c>
      <c r="G222" s="248" t="s">
        <v>378</v>
      </c>
      <c r="H222" s="133"/>
      <c r="I222" s="133"/>
      <c r="J222" s="133"/>
      <c r="K222" s="133"/>
      <c r="L222" s="133"/>
      <c r="M222" s="133"/>
      <c r="N222" s="133"/>
      <c r="O222" s="133"/>
      <c r="P222" s="133"/>
      <c r="Q222" s="133"/>
      <c r="R222" s="133"/>
      <c r="S222" s="133"/>
      <c r="T222" s="133"/>
      <c r="U222" s="133"/>
      <c r="V222" s="133"/>
      <c r="W222" s="133"/>
      <c r="X222" s="133"/>
      <c r="Y222" s="133"/>
      <c r="Z222" s="133">
        <f t="shared" si="110"/>
        <v>192000</v>
      </c>
      <c r="AA222" s="133">
        <v>192000</v>
      </c>
      <c r="AB222" s="133">
        <f t="shared" si="121"/>
        <v>0</v>
      </c>
      <c r="AC222" s="133">
        <v>192000</v>
      </c>
      <c r="AD222" s="81"/>
      <c r="AE222" s="81"/>
      <c r="AF222" s="81"/>
    </row>
    <row r="223" spans="1:32" s="82" customFormat="1" x14ac:dyDescent="0.2">
      <c r="A223" s="83" t="s">
        <v>198</v>
      </c>
      <c r="B223" s="77">
        <v>804</v>
      </c>
      <c r="C223" s="78" t="s">
        <v>416</v>
      </c>
      <c r="D223" s="78" t="s">
        <v>422</v>
      </c>
      <c r="E223" s="78" t="s">
        <v>196</v>
      </c>
      <c r="F223" s="78" t="s">
        <v>199</v>
      </c>
      <c r="G223" s="89"/>
      <c r="H223" s="84"/>
      <c r="I223" s="84"/>
      <c r="J223" s="84"/>
      <c r="K223" s="84"/>
      <c r="L223" s="84"/>
      <c r="M223" s="84"/>
      <c r="N223" s="84"/>
      <c r="O223" s="84"/>
      <c r="P223" s="80">
        <f t="shared" ref="P223:Y223" si="122">SUM(P225:P226)</f>
        <v>0</v>
      </c>
      <c r="Q223" s="80">
        <f t="shared" si="122"/>
        <v>0</v>
      </c>
      <c r="R223" s="80">
        <f t="shared" si="122"/>
        <v>0</v>
      </c>
      <c r="S223" s="80">
        <f t="shared" si="122"/>
        <v>0</v>
      </c>
      <c r="T223" s="80">
        <f t="shared" si="122"/>
        <v>0</v>
      </c>
      <c r="U223" s="80">
        <f t="shared" si="122"/>
        <v>0</v>
      </c>
      <c r="V223" s="80">
        <f t="shared" si="122"/>
        <v>0</v>
      </c>
      <c r="W223" s="80">
        <f t="shared" si="122"/>
        <v>0</v>
      </c>
      <c r="X223" s="80">
        <f t="shared" si="122"/>
        <v>0</v>
      </c>
      <c r="Y223" s="80">
        <f t="shared" si="122"/>
        <v>0</v>
      </c>
      <c r="Z223" s="80">
        <f t="shared" si="110"/>
        <v>4627727.72</v>
      </c>
      <c r="AA223" s="80">
        <f>SUM(AA224:AA226)</f>
        <v>4627727.72</v>
      </c>
      <c r="AB223" s="80">
        <f t="shared" ref="AB223:AC223" si="123">SUM(AB224:AB226)</f>
        <v>398222.56999999983</v>
      </c>
      <c r="AC223" s="80">
        <f t="shared" si="123"/>
        <v>5025950.2899999991</v>
      </c>
      <c r="AD223" s="81"/>
      <c r="AE223" s="81"/>
      <c r="AF223" s="81"/>
    </row>
    <row r="224" spans="1:32" s="82" customFormat="1" x14ac:dyDescent="0.2">
      <c r="A224" s="158" t="s">
        <v>426</v>
      </c>
      <c r="B224" s="88">
        <v>804</v>
      </c>
      <c r="C224" s="89" t="s">
        <v>416</v>
      </c>
      <c r="D224" s="89" t="s">
        <v>422</v>
      </c>
      <c r="E224" s="89" t="s">
        <v>196</v>
      </c>
      <c r="F224" s="89" t="s">
        <v>199</v>
      </c>
      <c r="G224" s="89"/>
      <c r="H224" s="84"/>
      <c r="I224" s="84"/>
      <c r="J224" s="84"/>
      <c r="K224" s="84"/>
      <c r="L224" s="84"/>
      <c r="M224" s="84"/>
      <c r="N224" s="84"/>
      <c r="O224" s="84"/>
      <c r="P224" s="80"/>
      <c r="Q224" s="80"/>
      <c r="R224" s="80"/>
      <c r="S224" s="80"/>
      <c r="T224" s="80"/>
      <c r="U224" s="80"/>
      <c r="V224" s="80"/>
      <c r="W224" s="80"/>
      <c r="X224" s="80"/>
      <c r="Y224" s="80"/>
      <c r="Z224" s="84">
        <f t="shared" si="110"/>
        <v>100120</v>
      </c>
      <c r="AA224" s="90">
        <v>100120</v>
      </c>
      <c r="AB224" s="90">
        <f t="shared" si="121"/>
        <v>0</v>
      </c>
      <c r="AC224" s="90">
        <v>100120</v>
      </c>
      <c r="AD224" s="81"/>
      <c r="AE224" s="81"/>
      <c r="AF224" s="81"/>
    </row>
    <row r="225" spans="1:32" s="82" customFormat="1" ht="52.5" customHeight="1" x14ac:dyDescent="0.2">
      <c r="A225" s="87" t="s">
        <v>427</v>
      </c>
      <c r="B225" s="88">
        <v>804</v>
      </c>
      <c r="C225" s="89" t="s">
        <v>416</v>
      </c>
      <c r="D225" s="89" t="s">
        <v>422</v>
      </c>
      <c r="E225" s="89" t="s">
        <v>196</v>
      </c>
      <c r="F225" s="89" t="s">
        <v>199</v>
      </c>
      <c r="G225" s="89" t="s">
        <v>378</v>
      </c>
      <c r="H225" s="84"/>
      <c r="I225" s="84"/>
      <c r="J225" s="84"/>
      <c r="K225" s="84"/>
      <c r="L225" s="84"/>
      <c r="M225" s="84"/>
      <c r="N225" s="84"/>
      <c r="O225" s="84"/>
      <c r="P225" s="80"/>
      <c r="Q225" s="84"/>
      <c r="R225" s="84"/>
      <c r="S225" s="84"/>
      <c r="T225" s="84"/>
      <c r="U225" s="84"/>
      <c r="V225" s="84"/>
      <c r="W225" s="84"/>
      <c r="X225" s="84"/>
      <c r="Y225" s="84"/>
      <c r="Z225" s="84">
        <f t="shared" si="110"/>
        <v>1122000</v>
      </c>
      <c r="AA225" s="90">
        <v>1122000</v>
      </c>
      <c r="AB225" s="90">
        <f t="shared" si="121"/>
        <v>0</v>
      </c>
      <c r="AC225" s="90">
        <v>1122000</v>
      </c>
      <c r="AD225" s="81"/>
      <c r="AE225" s="81"/>
      <c r="AF225" s="81"/>
    </row>
    <row r="226" spans="1:32" s="82" customFormat="1" ht="38.25" x14ac:dyDescent="0.2">
      <c r="A226" s="87" t="s">
        <v>428</v>
      </c>
      <c r="B226" s="88">
        <v>804</v>
      </c>
      <c r="C226" s="89" t="s">
        <v>416</v>
      </c>
      <c r="D226" s="89" t="s">
        <v>422</v>
      </c>
      <c r="E226" s="89" t="s">
        <v>196</v>
      </c>
      <c r="F226" s="89" t="s">
        <v>199</v>
      </c>
      <c r="G226" s="89" t="s">
        <v>378</v>
      </c>
      <c r="H226" s="84"/>
      <c r="I226" s="84"/>
      <c r="J226" s="84"/>
      <c r="K226" s="84"/>
      <c r="L226" s="84"/>
      <c r="M226" s="84"/>
      <c r="N226" s="84"/>
      <c r="O226" s="84"/>
      <c r="P226" s="80"/>
      <c r="Q226" s="84"/>
      <c r="R226" s="84"/>
      <c r="S226" s="84"/>
      <c r="T226" s="84"/>
      <c r="U226" s="84"/>
      <c r="V226" s="84"/>
      <c r="W226" s="84"/>
      <c r="X226" s="84"/>
      <c r="Y226" s="84"/>
      <c r="Z226" s="84">
        <f t="shared" si="110"/>
        <v>3405607.7199999997</v>
      </c>
      <c r="AA226" s="90">
        <f>3892144.03-486536.31</f>
        <v>3405607.7199999997</v>
      </c>
      <c r="AB226" s="90">
        <f t="shared" si="121"/>
        <v>398222.56999999983</v>
      </c>
      <c r="AC226" s="90">
        <v>3803830.2899999996</v>
      </c>
      <c r="AD226" s="81"/>
      <c r="AE226" s="81"/>
      <c r="AF226" s="81"/>
    </row>
    <row r="227" spans="1:32" s="99" customFormat="1" x14ac:dyDescent="0.2">
      <c r="A227" s="76" t="s">
        <v>202</v>
      </c>
      <c r="B227" s="77">
        <v>804</v>
      </c>
      <c r="C227" s="78" t="s">
        <v>416</v>
      </c>
      <c r="D227" s="78" t="s">
        <v>422</v>
      </c>
      <c r="E227" s="89" t="s">
        <v>196</v>
      </c>
      <c r="F227" s="78" t="s">
        <v>203</v>
      </c>
      <c r="G227" s="78"/>
      <c r="H227" s="79" t="e">
        <f>#REF!</f>
        <v>#REF!</v>
      </c>
      <c r="I227" s="79" t="e">
        <f>#REF!</f>
        <v>#REF!</v>
      </c>
      <c r="J227" s="79" t="e">
        <f>#REF!</f>
        <v>#REF!</v>
      </c>
      <c r="K227" s="79" t="e">
        <f>#REF!</f>
        <v>#REF!</v>
      </c>
      <c r="L227" s="79" t="e">
        <f>#REF!</f>
        <v>#REF!</v>
      </c>
      <c r="M227" s="79" t="e">
        <f>#REF!</f>
        <v>#REF!</v>
      </c>
      <c r="N227" s="79" t="e">
        <f>#REF!</f>
        <v>#REF!</v>
      </c>
      <c r="O227" s="79" t="e">
        <f>#REF!</f>
        <v>#REF!</v>
      </c>
      <c r="P227" s="80">
        <f>P228+P229+P230+P231+P232</f>
        <v>300000</v>
      </c>
      <c r="Q227" s="80">
        <f t="shared" ref="Q227:Y227" si="124">Q228+Q229+Q230+Q232</f>
        <v>0</v>
      </c>
      <c r="R227" s="80">
        <f t="shared" si="124"/>
        <v>0</v>
      </c>
      <c r="S227" s="80">
        <f t="shared" si="124"/>
        <v>0</v>
      </c>
      <c r="T227" s="80">
        <f t="shared" si="124"/>
        <v>0</v>
      </c>
      <c r="U227" s="80">
        <f t="shared" si="124"/>
        <v>0</v>
      </c>
      <c r="V227" s="80">
        <f t="shared" si="124"/>
        <v>0</v>
      </c>
      <c r="W227" s="80">
        <f t="shared" si="124"/>
        <v>0</v>
      </c>
      <c r="X227" s="80">
        <f t="shared" si="124"/>
        <v>250000</v>
      </c>
      <c r="Y227" s="80">
        <f t="shared" si="124"/>
        <v>0</v>
      </c>
      <c r="Z227" s="80">
        <f t="shared" si="110"/>
        <v>0</v>
      </c>
      <c r="AA227" s="80">
        <f>AA228+AA229+AA230+AA231+AA232</f>
        <v>300000</v>
      </c>
      <c r="AB227" s="80">
        <f t="shared" ref="AB227" si="125">AB228+AB229+AB230+AB231+AB232</f>
        <v>0</v>
      </c>
      <c r="AC227" s="80">
        <f>AC228+AC229+AC230+AC231+AC232</f>
        <v>300000</v>
      </c>
      <c r="AD227" s="98"/>
      <c r="AE227" s="98"/>
      <c r="AF227" s="98"/>
    </row>
    <row r="228" spans="1:32" s="99" customFormat="1" x14ac:dyDescent="0.2">
      <c r="A228" s="87" t="s">
        <v>429</v>
      </c>
      <c r="B228" s="88">
        <v>804</v>
      </c>
      <c r="C228" s="89" t="s">
        <v>416</v>
      </c>
      <c r="D228" s="89" t="s">
        <v>422</v>
      </c>
      <c r="E228" s="89" t="s">
        <v>196</v>
      </c>
      <c r="F228" s="89" t="s">
        <v>430</v>
      </c>
      <c r="G228" s="89"/>
      <c r="H228" s="79"/>
      <c r="I228" s="79"/>
      <c r="J228" s="79"/>
      <c r="K228" s="79"/>
      <c r="L228" s="79"/>
      <c r="M228" s="79"/>
      <c r="N228" s="79"/>
      <c r="O228" s="79"/>
      <c r="P228" s="90">
        <v>100000</v>
      </c>
      <c r="Q228" s="84">
        <f>R228+S228+T228+U228+V228</f>
        <v>0</v>
      </c>
      <c r="R228" s="90">
        <v>0</v>
      </c>
      <c r="S228" s="80"/>
      <c r="T228" s="80"/>
      <c r="U228" s="80"/>
      <c r="V228" s="80"/>
      <c r="W228" s="80"/>
      <c r="X228" s="84">
        <f>P228+Q228</f>
        <v>100000</v>
      </c>
      <c r="Y228" s="79"/>
      <c r="Z228" s="79">
        <f t="shared" si="110"/>
        <v>0</v>
      </c>
      <c r="AA228" s="90">
        <v>100000</v>
      </c>
      <c r="AB228" s="90">
        <f t="shared" si="121"/>
        <v>0</v>
      </c>
      <c r="AC228" s="90">
        <v>100000</v>
      </c>
      <c r="AD228" s="98"/>
      <c r="AE228" s="98"/>
      <c r="AF228" s="98"/>
    </row>
    <row r="229" spans="1:32" s="99" customFormat="1" x14ac:dyDescent="0.2">
      <c r="A229" s="87" t="s">
        <v>431</v>
      </c>
      <c r="B229" s="88">
        <v>804</v>
      </c>
      <c r="C229" s="89" t="s">
        <v>416</v>
      </c>
      <c r="D229" s="89" t="s">
        <v>422</v>
      </c>
      <c r="E229" s="89" t="s">
        <v>196</v>
      </c>
      <c r="F229" s="89" t="s">
        <v>432</v>
      </c>
      <c r="G229" s="89"/>
      <c r="H229" s="79"/>
      <c r="I229" s="79"/>
      <c r="J229" s="79"/>
      <c r="K229" s="79"/>
      <c r="L229" s="79"/>
      <c r="M229" s="79"/>
      <c r="N229" s="79"/>
      <c r="O229" s="79"/>
      <c r="P229" s="90">
        <v>100000</v>
      </c>
      <c r="Q229" s="84">
        <f>R229+S229+T229+U229+V229</f>
        <v>0</v>
      </c>
      <c r="R229" s="90">
        <v>0</v>
      </c>
      <c r="S229" s="80"/>
      <c r="T229" s="80"/>
      <c r="U229" s="80"/>
      <c r="V229" s="80"/>
      <c r="W229" s="80"/>
      <c r="X229" s="84">
        <f>P229+Q229</f>
        <v>100000</v>
      </c>
      <c r="Y229" s="79"/>
      <c r="Z229" s="79">
        <f t="shared" si="110"/>
        <v>0</v>
      </c>
      <c r="AA229" s="90">
        <v>100000</v>
      </c>
      <c r="AB229" s="90">
        <f t="shared" si="121"/>
        <v>0</v>
      </c>
      <c r="AC229" s="90">
        <v>100000</v>
      </c>
      <c r="AD229" s="98"/>
      <c r="AE229" s="98"/>
      <c r="AF229" s="98"/>
    </row>
    <row r="230" spans="1:32" s="82" customFormat="1" x14ac:dyDescent="0.2">
      <c r="A230" s="92" t="s">
        <v>364</v>
      </c>
      <c r="B230" s="88">
        <v>804</v>
      </c>
      <c r="C230" s="89" t="s">
        <v>416</v>
      </c>
      <c r="D230" s="89" t="s">
        <v>422</v>
      </c>
      <c r="E230" s="89" t="s">
        <v>196</v>
      </c>
      <c r="F230" s="89" t="s">
        <v>365</v>
      </c>
      <c r="G230" s="89"/>
      <c r="H230" s="84"/>
      <c r="I230" s="84"/>
      <c r="J230" s="84"/>
      <c r="K230" s="84"/>
      <c r="L230" s="84"/>
      <c r="M230" s="84"/>
      <c r="N230" s="84"/>
      <c r="O230" s="84"/>
      <c r="P230" s="90">
        <v>50000</v>
      </c>
      <c r="Q230" s="84">
        <f>R230+S230+T230+U230+V230</f>
        <v>0</v>
      </c>
      <c r="R230" s="84">
        <v>0</v>
      </c>
      <c r="S230" s="84"/>
      <c r="T230" s="84"/>
      <c r="U230" s="84"/>
      <c r="V230" s="84"/>
      <c r="W230" s="84"/>
      <c r="X230" s="84">
        <f>P230+Q230</f>
        <v>50000</v>
      </c>
      <c r="Y230" s="84"/>
      <c r="Z230" s="84">
        <f t="shared" si="110"/>
        <v>0</v>
      </c>
      <c r="AA230" s="90">
        <v>50000</v>
      </c>
      <c r="AB230" s="90">
        <f t="shared" si="121"/>
        <v>0</v>
      </c>
      <c r="AC230" s="90">
        <v>50000</v>
      </c>
      <c r="AD230" s="81"/>
      <c r="AE230" s="81"/>
      <c r="AF230" s="81"/>
    </row>
    <row r="231" spans="1:32" s="82" customFormat="1" ht="25.5" x14ac:dyDescent="0.2">
      <c r="A231" s="92" t="s">
        <v>433</v>
      </c>
      <c r="B231" s="88">
        <v>804</v>
      </c>
      <c r="C231" s="89" t="s">
        <v>416</v>
      </c>
      <c r="D231" s="89" t="s">
        <v>422</v>
      </c>
      <c r="E231" s="89" t="s">
        <v>196</v>
      </c>
      <c r="F231" s="89" t="s">
        <v>208</v>
      </c>
      <c r="G231" s="89"/>
      <c r="H231" s="84"/>
      <c r="I231" s="84"/>
      <c r="J231" s="84"/>
      <c r="K231" s="84"/>
      <c r="L231" s="84"/>
      <c r="M231" s="84"/>
      <c r="N231" s="84"/>
      <c r="O231" s="84"/>
      <c r="P231" s="90">
        <v>50000</v>
      </c>
      <c r="Q231" s="84"/>
      <c r="R231" s="84"/>
      <c r="S231" s="84"/>
      <c r="T231" s="84"/>
      <c r="U231" s="84"/>
      <c r="V231" s="84"/>
      <c r="W231" s="84"/>
      <c r="X231" s="84"/>
      <c r="Y231" s="84"/>
      <c r="Z231" s="84">
        <f t="shared" si="110"/>
        <v>0</v>
      </c>
      <c r="AA231" s="90">
        <v>50000</v>
      </c>
      <c r="AB231" s="90">
        <f t="shared" si="121"/>
        <v>0</v>
      </c>
      <c r="AC231" s="90">
        <v>50000</v>
      </c>
      <c r="AD231" s="81"/>
      <c r="AE231" s="81"/>
      <c r="AF231" s="81"/>
    </row>
    <row r="232" spans="1:32" s="82" customFormat="1" ht="63" hidden="1" customHeight="1" x14ac:dyDescent="0.2">
      <c r="A232" s="92" t="s">
        <v>292</v>
      </c>
      <c r="B232" s="88">
        <v>804</v>
      </c>
      <c r="C232" s="89" t="s">
        <v>416</v>
      </c>
      <c r="D232" s="89" t="s">
        <v>422</v>
      </c>
      <c r="E232" s="89" t="s">
        <v>196</v>
      </c>
      <c r="F232" s="89" t="s">
        <v>208</v>
      </c>
      <c r="G232" s="89" t="s">
        <v>308</v>
      </c>
      <c r="H232" s="84"/>
      <c r="I232" s="84"/>
      <c r="J232" s="84"/>
      <c r="K232" s="84"/>
      <c r="L232" s="84"/>
      <c r="M232" s="84"/>
      <c r="N232" s="84"/>
      <c r="O232" s="84"/>
      <c r="P232" s="90">
        <v>0</v>
      </c>
      <c r="Q232" s="84">
        <f>R232+S232+T232+U232+V232</f>
        <v>0</v>
      </c>
      <c r="R232" s="84">
        <v>0</v>
      </c>
      <c r="S232" s="84"/>
      <c r="T232" s="84"/>
      <c r="U232" s="84"/>
      <c r="V232" s="84"/>
      <c r="W232" s="84"/>
      <c r="X232" s="84">
        <f>P232+Q232</f>
        <v>0</v>
      </c>
      <c r="Y232" s="84"/>
      <c r="Z232" s="84">
        <f t="shared" si="110"/>
        <v>0</v>
      </c>
      <c r="AA232" s="90">
        <v>0</v>
      </c>
      <c r="AB232" s="90"/>
      <c r="AC232" s="90">
        <v>0</v>
      </c>
      <c r="AD232" s="81"/>
      <c r="AE232" s="81"/>
      <c r="AF232" s="81"/>
    </row>
    <row r="233" spans="1:32" s="82" customFormat="1" x14ac:dyDescent="0.2">
      <c r="A233" s="83" t="s">
        <v>434</v>
      </c>
      <c r="B233" s="77">
        <v>804</v>
      </c>
      <c r="C233" s="78" t="s">
        <v>435</v>
      </c>
      <c r="D233" s="78" t="s">
        <v>167</v>
      </c>
      <c r="E233" s="78" t="s">
        <v>168</v>
      </c>
      <c r="F233" s="78" t="s">
        <v>168</v>
      </c>
      <c r="G233" s="78"/>
      <c r="H233" s="79" t="e">
        <f>H237+H245+H254+H259+#REF!</f>
        <v>#REF!</v>
      </c>
      <c r="I233" s="79" t="e">
        <f>I237+I245+I254+I259+#REF!</f>
        <v>#REF!</v>
      </c>
      <c r="J233" s="79" t="e">
        <f>J237+J245+J254+J259+#REF!</f>
        <v>#REF!</v>
      </c>
      <c r="K233" s="79" t="e">
        <f>K237+K245+K254+K259+#REF!</f>
        <v>#REF!</v>
      </c>
      <c r="L233" s="79" t="e">
        <f>L237+L245+L254+L259+#REF!</f>
        <v>#REF!</v>
      </c>
      <c r="M233" s="79" t="e">
        <f>M237+M245+M254+M259+#REF!</f>
        <v>#REF!</v>
      </c>
      <c r="N233" s="79" t="e">
        <f>N237+N245+N254+N259+#REF!</f>
        <v>#REF!</v>
      </c>
      <c r="O233" s="79" t="e">
        <f>O237+O245+O254+O259+#REF!</f>
        <v>#REF!</v>
      </c>
      <c r="P233" s="80">
        <f>P234+P237+P254+P259+P244</f>
        <v>10420121.73</v>
      </c>
      <c r="Q233" s="80" t="e">
        <f>Q234+Q237+Q254+Q259+#REF!+Q244</f>
        <v>#REF!</v>
      </c>
      <c r="R233" s="80" t="e">
        <f>R234+R237+R254+R259+#REF!+R244</f>
        <v>#REF!</v>
      </c>
      <c r="S233" s="80" t="e">
        <f>S234+S237+S254+S259+#REF!+S244</f>
        <v>#REF!</v>
      </c>
      <c r="T233" s="80" t="e">
        <f>T234+T237+T254+T259+#REF!+T244</f>
        <v>#REF!</v>
      </c>
      <c r="U233" s="80" t="e">
        <f>U234+U237+U254+U259+#REF!+U244</f>
        <v>#REF!</v>
      </c>
      <c r="V233" s="80" t="e">
        <f>V234+V237+V254+V259+#REF!+V244</f>
        <v>#REF!</v>
      </c>
      <c r="W233" s="80"/>
      <c r="X233" s="80" t="e">
        <f>X234+X237+X254+X259+#REF!+X244</f>
        <v>#REF!</v>
      </c>
      <c r="Y233" s="84"/>
      <c r="Z233" s="84">
        <f t="shared" si="110"/>
        <v>37143782.950000003</v>
      </c>
      <c r="AA233" s="80">
        <f>AA234+AA237+AA254+AA259+AA244</f>
        <v>47563904.68</v>
      </c>
      <c r="AB233" s="80">
        <f t="shared" ref="AB233" si="126">AB234+AB237+AB254+AB259+AB244</f>
        <v>13525139.709999997</v>
      </c>
      <c r="AC233" s="80">
        <f>AC234+AC237+AC254+AC259+AC244</f>
        <v>61089044.390000001</v>
      </c>
      <c r="AD233" s="81"/>
      <c r="AE233" s="81"/>
      <c r="AF233" s="81"/>
    </row>
    <row r="234" spans="1:32" s="82" customFormat="1" x14ac:dyDescent="0.2">
      <c r="A234" s="76" t="s">
        <v>436</v>
      </c>
      <c r="B234" s="93">
        <v>804</v>
      </c>
      <c r="C234" s="78" t="s">
        <v>437</v>
      </c>
      <c r="D234" s="78" t="s">
        <v>167</v>
      </c>
      <c r="E234" s="78" t="s">
        <v>196</v>
      </c>
      <c r="F234" s="78"/>
      <c r="G234" s="78"/>
      <c r="H234" s="79"/>
      <c r="I234" s="79"/>
      <c r="J234" s="79"/>
      <c r="K234" s="79"/>
      <c r="L234" s="79"/>
      <c r="M234" s="79"/>
      <c r="N234" s="79"/>
      <c r="O234" s="79"/>
      <c r="P234" s="80">
        <f>P235+P236</f>
        <v>0</v>
      </c>
      <c r="Q234" s="84">
        <f>R234+S234+T234+U234</f>
        <v>0</v>
      </c>
      <c r="R234" s="80">
        <f>R235+R236</f>
        <v>0</v>
      </c>
      <c r="S234" s="80">
        <f>S235+S236</f>
        <v>0</v>
      </c>
      <c r="T234" s="80">
        <f>T235+T236</f>
        <v>0</v>
      </c>
      <c r="U234" s="80">
        <f>U235+U236</f>
        <v>0</v>
      </c>
      <c r="V234" s="80">
        <f>V235+V236</f>
        <v>0</v>
      </c>
      <c r="W234" s="80"/>
      <c r="X234" s="84">
        <f>P234+Q234</f>
        <v>0</v>
      </c>
      <c r="Y234" s="84"/>
      <c r="Z234" s="84">
        <f t="shared" si="110"/>
        <v>130995.26</v>
      </c>
      <c r="AA234" s="80">
        <f>AA235+AA236</f>
        <v>130995.26</v>
      </c>
      <c r="AB234" s="80">
        <f t="shared" ref="AB234" si="127">AB235+AB236</f>
        <v>-26199.020000000004</v>
      </c>
      <c r="AC234" s="80">
        <f>AC235+AC236</f>
        <v>104796.23999999999</v>
      </c>
      <c r="AD234" s="81"/>
      <c r="AE234" s="81"/>
      <c r="AF234" s="81"/>
    </row>
    <row r="235" spans="1:32" s="82" customFormat="1" ht="38.25" x14ac:dyDescent="0.2">
      <c r="A235" s="87" t="s">
        <v>438</v>
      </c>
      <c r="B235" s="71">
        <v>804</v>
      </c>
      <c r="C235" s="115" t="s">
        <v>437</v>
      </c>
      <c r="D235" s="115" t="s">
        <v>439</v>
      </c>
      <c r="E235" s="115" t="s">
        <v>196</v>
      </c>
      <c r="F235" s="115" t="s">
        <v>187</v>
      </c>
      <c r="G235" s="89"/>
      <c r="H235" s="84"/>
      <c r="I235" s="84"/>
      <c r="J235" s="84"/>
      <c r="K235" s="84"/>
      <c r="L235" s="84"/>
      <c r="M235" s="84"/>
      <c r="N235" s="84"/>
      <c r="O235" s="84"/>
      <c r="P235" s="144">
        <v>0</v>
      </c>
      <c r="Q235" s="133">
        <f>R235+S235+T235+U235</f>
        <v>0</v>
      </c>
      <c r="R235" s="133"/>
      <c r="S235" s="133"/>
      <c r="T235" s="133"/>
      <c r="U235" s="133"/>
      <c r="V235" s="133"/>
      <c r="W235" s="133"/>
      <c r="X235" s="133">
        <f>P235+Q235</f>
        <v>0</v>
      </c>
      <c r="Y235" s="133"/>
      <c r="Z235" s="133">
        <f t="shared" si="110"/>
        <v>130995.26</v>
      </c>
      <c r="AA235" s="127">
        <v>130995.26</v>
      </c>
      <c r="AB235" s="127">
        <f t="shared" ref="AB235" si="128">AC235-AA235</f>
        <v>-26199.020000000004</v>
      </c>
      <c r="AC235" s="127">
        <f>130995.26-26199.02</f>
        <v>104796.23999999999</v>
      </c>
      <c r="AD235" s="81"/>
      <c r="AE235" s="81"/>
      <c r="AF235" s="81"/>
    </row>
    <row r="236" spans="1:32" s="82" customFormat="1" ht="63" hidden="1" customHeight="1" x14ac:dyDescent="0.2">
      <c r="A236" s="87" t="s">
        <v>440</v>
      </c>
      <c r="B236" s="93"/>
      <c r="C236" s="78"/>
      <c r="D236" s="115" t="s">
        <v>439</v>
      </c>
      <c r="E236" s="78"/>
      <c r="F236" s="89" t="s">
        <v>199</v>
      </c>
      <c r="G236" s="89"/>
      <c r="H236" s="84"/>
      <c r="I236" s="84"/>
      <c r="J236" s="84"/>
      <c r="K236" s="84"/>
      <c r="L236" s="84"/>
      <c r="M236" s="84"/>
      <c r="N236" s="84"/>
      <c r="O236" s="84"/>
      <c r="P236" s="90">
        <v>0</v>
      </c>
      <c r="Q236" s="84">
        <f>R236+S236+T236+U236+V236</f>
        <v>0</v>
      </c>
      <c r="R236" s="84">
        <v>0</v>
      </c>
      <c r="S236" s="84"/>
      <c r="T236" s="84"/>
      <c r="U236" s="84">
        <v>0</v>
      </c>
      <c r="V236" s="84"/>
      <c r="W236" s="84"/>
      <c r="X236" s="84">
        <f>P236+Q236</f>
        <v>0</v>
      </c>
      <c r="Y236" s="84" t="s">
        <v>227</v>
      </c>
      <c r="Z236" s="84">
        <f t="shared" si="110"/>
        <v>0</v>
      </c>
      <c r="AA236" s="90">
        <v>0</v>
      </c>
      <c r="AB236" s="90"/>
      <c r="AC236" s="90">
        <v>0</v>
      </c>
      <c r="AD236" s="81"/>
      <c r="AE236" s="81"/>
      <c r="AF236" s="81"/>
    </row>
    <row r="237" spans="1:32" s="82" customFormat="1" x14ac:dyDescent="0.2">
      <c r="A237" s="83" t="s">
        <v>441</v>
      </c>
      <c r="B237" s="77">
        <v>804</v>
      </c>
      <c r="C237" s="78" t="s">
        <v>442</v>
      </c>
      <c r="D237" s="78" t="s">
        <v>167</v>
      </c>
      <c r="E237" s="78" t="s">
        <v>168</v>
      </c>
      <c r="F237" s="78" t="s">
        <v>168</v>
      </c>
      <c r="G237" s="78"/>
      <c r="H237" s="79">
        <f t="shared" ref="H237:O237" si="129">H238+H242</f>
        <v>1000000</v>
      </c>
      <c r="I237" s="79">
        <f t="shared" si="129"/>
        <v>0</v>
      </c>
      <c r="J237" s="79">
        <f t="shared" si="129"/>
        <v>0</v>
      </c>
      <c r="K237" s="79">
        <f t="shared" si="129"/>
        <v>0</v>
      </c>
      <c r="L237" s="79">
        <f t="shared" si="129"/>
        <v>0</v>
      </c>
      <c r="M237" s="79">
        <f t="shared" si="129"/>
        <v>0</v>
      </c>
      <c r="N237" s="79">
        <f t="shared" si="129"/>
        <v>1000000</v>
      </c>
      <c r="O237" s="79">
        <f t="shared" si="129"/>
        <v>800000</v>
      </c>
      <c r="P237" s="80">
        <f t="shared" ref="P237:V240" si="130">P238</f>
        <v>5489026.5199999996</v>
      </c>
      <c r="Q237" s="80">
        <f t="shared" si="130"/>
        <v>0</v>
      </c>
      <c r="R237" s="80">
        <f t="shared" si="130"/>
        <v>0</v>
      </c>
      <c r="S237" s="80">
        <f t="shared" si="130"/>
        <v>0</v>
      </c>
      <c r="T237" s="80">
        <f t="shared" si="130"/>
        <v>0</v>
      </c>
      <c r="U237" s="80">
        <f t="shared" si="130"/>
        <v>0</v>
      </c>
      <c r="V237" s="80">
        <f t="shared" si="130"/>
        <v>0</v>
      </c>
      <c r="W237" s="80"/>
      <c r="X237" s="80">
        <f>X238</f>
        <v>665026.52</v>
      </c>
      <c r="Y237" s="84"/>
      <c r="Z237" s="84">
        <f t="shared" si="110"/>
        <v>0</v>
      </c>
      <c r="AA237" s="80">
        <f>AA238</f>
        <v>5489026.5199999996</v>
      </c>
      <c r="AB237" s="80">
        <f t="shared" ref="AB237" si="131">AB238</f>
        <v>2196500</v>
      </c>
      <c r="AC237" s="80">
        <f>AC238</f>
        <v>7685526.5199999996</v>
      </c>
      <c r="AD237" s="81"/>
      <c r="AE237" s="81"/>
      <c r="AF237" s="81"/>
    </row>
    <row r="238" spans="1:32" s="82" customFormat="1" x14ac:dyDescent="0.2">
      <c r="A238" s="76" t="s">
        <v>443</v>
      </c>
      <c r="B238" s="77">
        <v>804</v>
      </c>
      <c r="C238" s="78" t="s">
        <v>442</v>
      </c>
      <c r="D238" s="78" t="s">
        <v>167</v>
      </c>
      <c r="E238" s="78" t="s">
        <v>168</v>
      </c>
      <c r="F238" s="78" t="s">
        <v>168</v>
      </c>
      <c r="G238" s="78"/>
      <c r="H238" s="79">
        <f t="shared" ref="H238:O240" si="132">H239</f>
        <v>1000000</v>
      </c>
      <c r="I238" s="79">
        <f t="shared" si="132"/>
        <v>0</v>
      </c>
      <c r="J238" s="79">
        <f t="shared" si="132"/>
        <v>0</v>
      </c>
      <c r="K238" s="79">
        <f t="shared" si="132"/>
        <v>0</v>
      </c>
      <c r="L238" s="79">
        <f t="shared" si="132"/>
        <v>0</v>
      </c>
      <c r="M238" s="79">
        <f t="shared" si="132"/>
        <v>0</v>
      </c>
      <c r="N238" s="79">
        <f t="shared" si="132"/>
        <v>1000000</v>
      </c>
      <c r="O238" s="79">
        <f t="shared" si="132"/>
        <v>800000</v>
      </c>
      <c r="P238" s="80">
        <f>P239+P242</f>
        <v>5489026.5199999996</v>
      </c>
      <c r="Q238" s="80">
        <f t="shared" si="130"/>
        <v>0</v>
      </c>
      <c r="R238" s="80">
        <f t="shared" si="130"/>
        <v>0</v>
      </c>
      <c r="S238" s="80">
        <f t="shared" si="130"/>
        <v>0</v>
      </c>
      <c r="T238" s="80">
        <f t="shared" si="130"/>
        <v>0</v>
      </c>
      <c r="U238" s="80">
        <f t="shared" si="130"/>
        <v>0</v>
      </c>
      <c r="V238" s="80">
        <f t="shared" si="130"/>
        <v>0</v>
      </c>
      <c r="W238" s="80"/>
      <c r="X238" s="80">
        <f>X239</f>
        <v>665026.52</v>
      </c>
      <c r="Y238" s="84"/>
      <c r="Z238" s="84">
        <f t="shared" si="110"/>
        <v>0</v>
      </c>
      <c r="AA238" s="80">
        <f>AA239+AA242</f>
        <v>5489026.5199999996</v>
      </c>
      <c r="AB238" s="80">
        <f t="shared" ref="AB238" si="133">AB239+AB242</f>
        <v>2196500</v>
      </c>
      <c r="AC238" s="80">
        <f>AC239+AC242</f>
        <v>7685526.5199999996</v>
      </c>
      <c r="AD238" s="81"/>
      <c r="AE238" s="81"/>
      <c r="AF238" s="81"/>
    </row>
    <row r="239" spans="1:32" s="82" customFormat="1" ht="25.5" x14ac:dyDescent="0.2">
      <c r="A239" s="76" t="s">
        <v>444</v>
      </c>
      <c r="B239" s="77">
        <v>804</v>
      </c>
      <c r="C239" s="78" t="s">
        <v>442</v>
      </c>
      <c r="D239" s="78" t="s">
        <v>445</v>
      </c>
      <c r="E239" s="78" t="s">
        <v>168</v>
      </c>
      <c r="F239" s="78" t="s">
        <v>168</v>
      </c>
      <c r="G239" s="78"/>
      <c r="H239" s="79">
        <f t="shared" si="132"/>
        <v>1000000</v>
      </c>
      <c r="I239" s="79">
        <f t="shared" si="132"/>
        <v>0</v>
      </c>
      <c r="J239" s="79">
        <f t="shared" si="132"/>
        <v>0</v>
      </c>
      <c r="K239" s="79">
        <f t="shared" si="132"/>
        <v>0</v>
      </c>
      <c r="L239" s="79">
        <f t="shared" si="132"/>
        <v>0</v>
      </c>
      <c r="M239" s="79">
        <f t="shared" si="132"/>
        <v>0</v>
      </c>
      <c r="N239" s="79">
        <f t="shared" si="132"/>
        <v>1000000</v>
      </c>
      <c r="O239" s="79">
        <f t="shared" si="132"/>
        <v>800000</v>
      </c>
      <c r="P239" s="80">
        <f>P240</f>
        <v>665026.52</v>
      </c>
      <c r="Q239" s="80">
        <f t="shared" si="130"/>
        <v>0</v>
      </c>
      <c r="R239" s="80">
        <f t="shared" si="130"/>
        <v>0</v>
      </c>
      <c r="S239" s="80">
        <f t="shared" si="130"/>
        <v>0</v>
      </c>
      <c r="T239" s="80">
        <f t="shared" si="130"/>
        <v>0</v>
      </c>
      <c r="U239" s="80">
        <f t="shared" si="130"/>
        <v>0</v>
      </c>
      <c r="V239" s="80">
        <f t="shared" si="130"/>
        <v>0</v>
      </c>
      <c r="W239" s="80"/>
      <c r="X239" s="80">
        <f>X240</f>
        <v>665026.52</v>
      </c>
      <c r="Y239" s="84"/>
      <c r="Z239" s="84">
        <f t="shared" si="110"/>
        <v>0</v>
      </c>
      <c r="AA239" s="80">
        <f>AA240</f>
        <v>665026.52</v>
      </c>
      <c r="AB239" s="80">
        <f t="shared" ref="AB239:AB240" si="134">AB240</f>
        <v>0</v>
      </c>
      <c r="AC239" s="80">
        <f>AC240</f>
        <v>665026.52</v>
      </c>
      <c r="AD239" s="81"/>
      <c r="AE239" s="81"/>
      <c r="AF239" s="81"/>
    </row>
    <row r="240" spans="1:32" s="82" customFormat="1" ht="25.5" x14ac:dyDescent="0.2">
      <c r="A240" s="76" t="s">
        <v>446</v>
      </c>
      <c r="B240" s="77">
        <v>804</v>
      </c>
      <c r="C240" s="78" t="s">
        <v>442</v>
      </c>
      <c r="D240" s="78" t="s">
        <v>445</v>
      </c>
      <c r="E240" s="78" t="s">
        <v>375</v>
      </c>
      <c r="F240" s="78" t="s">
        <v>233</v>
      </c>
      <c r="G240" s="78"/>
      <c r="H240" s="79">
        <f t="shared" si="132"/>
        <v>1000000</v>
      </c>
      <c r="I240" s="79">
        <f t="shared" si="132"/>
        <v>0</v>
      </c>
      <c r="J240" s="79">
        <f t="shared" si="132"/>
        <v>0</v>
      </c>
      <c r="K240" s="79">
        <f t="shared" si="132"/>
        <v>0</v>
      </c>
      <c r="L240" s="79">
        <f t="shared" si="132"/>
        <v>0</v>
      </c>
      <c r="M240" s="79">
        <f t="shared" si="132"/>
        <v>0</v>
      </c>
      <c r="N240" s="79">
        <f t="shared" si="132"/>
        <v>1000000</v>
      </c>
      <c r="O240" s="79">
        <f t="shared" si="132"/>
        <v>800000</v>
      </c>
      <c r="P240" s="80">
        <f>P241</f>
        <v>665026.52</v>
      </c>
      <c r="Q240" s="80">
        <f t="shared" si="130"/>
        <v>0</v>
      </c>
      <c r="R240" s="80">
        <f t="shared" si="130"/>
        <v>0</v>
      </c>
      <c r="S240" s="80">
        <f t="shared" si="130"/>
        <v>0</v>
      </c>
      <c r="T240" s="80">
        <f t="shared" si="130"/>
        <v>0</v>
      </c>
      <c r="U240" s="80">
        <f t="shared" si="130"/>
        <v>0</v>
      </c>
      <c r="V240" s="80">
        <f t="shared" si="130"/>
        <v>0</v>
      </c>
      <c r="W240" s="80"/>
      <c r="X240" s="80">
        <f>X241</f>
        <v>665026.52</v>
      </c>
      <c r="Y240" s="84"/>
      <c r="Z240" s="84">
        <f t="shared" si="110"/>
        <v>0</v>
      </c>
      <c r="AA240" s="80">
        <f>AA241</f>
        <v>665026.52</v>
      </c>
      <c r="AB240" s="80">
        <f t="shared" si="134"/>
        <v>0</v>
      </c>
      <c r="AC240" s="80">
        <f>AC241</f>
        <v>665026.52</v>
      </c>
      <c r="AD240" s="81"/>
      <c r="AE240" s="81"/>
      <c r="AF240" s="81"/>
    </row>
    <row r="241" spans="1:32" s="82" customFormat="1" ht="38.25" x14ac:dyDescent="0.2">
      <c r="A241" s="91" t="s">
        <v>447</v>
      </c>
      <c r="B241" s="101">
        <v>804</v>
      </c>
      <c r="C241" s="115" t="s">
        <v>442</v>
      </c>
      <c r="D241" s="115" t="s">
        <v>445</v>
      </c>
      <c r="E241" s="115" t="s">
        <v>375</v>
      </c>
      <c r="F241" s="115" t="s">
        <v>376</v>
      </c>
      <c r="G241" s="89"/>
      <c r="H241" s="84">
        <v>1000000</v>
      </c>
      <c r="I241" s="84">
        <f>SUM(J241:M241)</f>
        <v>0</v>
      </c>
      <c r="J241" s="84">
        <v>0</v>
      </c>
      <c r="K241" s="84">
        <v>0</v>
      </c>
      <c r="L241" s="84">
        <v>0</v>
      </c>
      <c r="M241" s="84">
        <v>0</v>
      </c>
      <c r="N241" s="84">
        <f>H241+I241</f>
        <v>1000000</v>
      </c>
      <c r="O241" s="84">
        <f>1000000*80%</f>
        <v>800000</v>
      </c>
      <c r="P241" s="90">
        <f>665026.52</f>
        <v>665026.52</v>
      </c>
      <c r="Q241" s="84">
        <f>R241+S241+T241+U241+V241</f>
        <v>0</v>
      </c>
      <c r="R241" s="84">
        <v>0</v>
      </c>
      <c r="S241" s="84"/>
      <c r="T241" s="84"/>
      <c r="U241" s="84">
        <v>0</v>
      </c>
      <c r="V241" s="84"/>
      <c r="W241" s="84"/>
      <c r="X241" s="84">
        <f>P241+Q241</f>
        <v>665026.52</v>
      </c>
      <c r="Y241" s="84" t="s">
        <v>227</v>
      </c>
      <c r="Z241" s="84">
        <f t="shared" si="110"/>
        <v>0</v>
      </c>
      <c r="AA241" s="90">
        <f>665026.52</f>
        <v>665026.52</v>
      </c>
      <c r="AB241" s="90">
        <f t="shared" ref="AB241" si="135">AC241-AA241</f>
        <v>0</v>
      </c>
      <c r="AC241" s="90">
        <f>665026.52</f>
        <v>665026.52</v>
      </c>
      <c r="AD241" s="81"/>
      <c r="AE241" s="81"/>
      <c r="AF241" s="81"/>
    </row>
    <row r="242" spans="1:32" s="99" customFormat="1" x14ac:dyDescent="0.2">
      <c r="A242" s="83" t="s">
        <v>198</v>
      </c>
      <c r="B242" s="77">
        <v>804</v>
      </c>
      <c r="C242" s="78" t="s">
        <v>442</v>
      </c>
      <c r="D242" s="78" t="s">
        <v>167</v>
      </c>
      <c r="E242" s="78" t="s">
        <v>196</v>
      </c>
      <c r="F242" s="78" t="s">
        <v>199</v>
      </c>
      <c r="G242" s="78"/>
      <c r="H242" s="79">
        <f t="shared" ref="H242:P242" si="136">H243</f>
        <v>0</v>
      </c>
      <c r="I242" s="79">
        <f t="shared" si="136"/>
        <v>0</v>
      </c>
      <c r="J242" s="79">
        <f t="shared" si="136"/>
        <v>0</v>
      </c>
      <c r="K242" s="79">
        <f t="shared" si="136"/>
        <v>0</v>
      </c>
      <c r="L242" s="79">
        <f t="shared" si="136"/>
        <v>0</v>
      </c>
      <c r="M242" s="79">
        <f t="shared" si="136"/>
        <v>0</v>
      </c>
      <c r="N242" s="79">
        <f t="shared" si="136"/>
        <v>0</v>
      </c>
      <c r="O242" s="79">
        <f t="shared" si="136"/>
        <v>0</v>
      </c>
      <c r="P242" s="80">
        <f t="shared" si="136"/>
        <v>4824000</v>
      </c>
      <c r="Q242" s="79"/>
      <c r="R242" s="79"/>
      <c r="S242" s="79"/>
      <c r="T242" s="79"/>
      <c r="U242" s="79"/>
      <c r="V242" s="79"/>
      <c r="W242" s="79"/>
      <c r="X242" s="84"/>
      <c r="Y242" s="79"/>
      <c r="Z242" s="79">
        <f t="shared" si="110"/>
        <v>0</v>
      </c>
      <c r="AA242" s="80">
        <f>AA243</f>
        <v>4824000</v>
      </c>
      <c r="AB242" s="80">
        <f t="shared" ref="AB242" si="137">AB243</f>
        <v>2196500</v>
      </c>
      <c r="AC242" s="80">
        <f>AC243</f>
        <v>7020500</v>
      </c>
      <c r="AD242" s="98"/>
      <c r="AE242" s="98"/>
      <c r="AF242" s="98"/>
    </row>
    <row r="243" spans="1:32" s="82" customFormat="1" ht="23.25" customHeight="1" x14ac:dyDescent="0.2">
      <c r="A243" s="92" t="s">
        <v>448</v>
      </c>
      <c r="B243" s="95" t="s">
        <v>289</v>
      </c>
      <c r="C243" s="89" t="s">
        <v>442</v>
      </c>
      <c r="D243" s="89" t="s">
        <v>445</v>
      </c>
      <c r="E243" s="89" t="s">
        <v>196</v>
      </c>
      <c r="F243" s="89" t="s">
        <v>199</v>
      </c>
      <c r="G243" s="89" t="s">
        <v>378</v>
      </c>
      <c r="H243" s="84">
        <v>0</v>
      </c>
      <c r="I243" s="84">
        <f>SUM(J243:M243)</f>
        <v>0</v>
      </c>
      <c r="J243" s="84">
        <v>0</v>
      </c>
      <c r="K243" s="84">
        <v>0</v>
      </c>
      <c r="L243" s="84">
        <v>0</v>
      </c>
      <c r="M243" s="84">
        <v>0</v>
      </c>
      <c r="N243" s="84">
        <f>H243+I243</f>
        <v>0</v>
      </c>
      <c r="O243" s="84">
        <v>0</v>
      </c>
      <c r="P243" s="90">
        <v>4824000</v>
      </c>
      <c r="Q243" s="84"/>
      <c r="R243" s="84"/>
      <c r="S243" s="84"/>
      <c r="T243" s="84"/>
      <c r="U243" s="84"/>
      <c r="V243" s="84"/>
      <c r="W243" s="84"/>
      <c r="X243" s="84"/>
      <c r="Y243" s="84"/>
      <c r="Z243" s="84">
        <f t="shared" si="110"/>
        <v>0</v>
      </c>
      <c r="AA243" s="90">
        <v>4824000</v>
      </c>
      <c r="AB243" s="90">
        <f t="shared" ref="AB243" si="138">AC243-AA243</f>
        <v>2196500</v>
      </c>
      <c r="AC243" s="90">
        <f>2196500+4824000</f>
        <v>7020500</v>
      </c>
      <c r="AD243" s="81"/>
      <c r="AE243" s="81"/>
      <c r="AF243" s="81"/>
    </row>
    <row r="244" spans="1:32" s="82" customFormat="1" x14ac:dyDescent="0.2">
      <c r="A244" s="157" t="s">
        <v>449</v>
      </c>
      <c r="B244" s="130">
        <v>804</v>
      </c>
      <c r="C244" s="78" t="s">
        <v>450</v>
      </c>
      <c r="D244" s="78" t="s">
        <v>167</v>
      </c>
      <c r="E244" s="78" t="s">
        <v>168</v>
      </c>
      <c r="F244" s="78" t="s">
        <v>168</v>
      </c>
      <c r="G244" s="78"/>
      <c r="H244" s="79"/>
      <c r="I244" s="79"/>
      <c r="J244" s="79"/>
      <c r="K244" s="79"/>
      <c r="L244" s="79"/>
      <c r="M244" s="79"/>
      <c r="N244" s="79"/>
      <c r="O244" s="79"/>
      <c r="P244" s="80">
        <f>P245+P253+P257+P256</f>
        <v>3912220</v>
      </c>
      <c r="Q244" s="80" t="e">
        <f>Q245+Q253+#REF!+Q257+Q256</f>
        <v>#REF!</v>
      </c>
      <c r="R244" s="80" t="e">
        <f>R245+R253+#REF!+R257+R256</f>
        <v>#REF!</v>
      </c>
      <c r="S244" s="80" t="e">
        <f>S245+S253+#REF!+S257+S256</f>
        <v>#REF!</v>
      </c>
      <c r="T244" s="80" t="e">
        <f>T245+T253+#REF!+T257+T256</f>
        <v>#REF!</v>
      </c>
      <c r="U244" s="80" t="e">
        <f>U245+U253+#REF!+U257+U256</f>
        <v>#REF!</v>
      </c>
      <c r="V244" s="80" t="e">
        <f>V245+V253+#REF!+V257+V256</f>
        <v>#REF!</v>
      </c>
      <c r="W244" s="80" t="e">
        <f>W245+W253+#REF!+W257+W256</f>
        <v>#REF!</v>
      </c>
      <c r="X244" s="80" t="e">
        <f>X245+X253+#REF!+X257+X256</f>
        <v>#REF!</v>
      </c>
      <c r="Y244" s="79"/>
      <c r="Z244" s="79">
        <f t="shared" si="110"/>
        <v>35175186.5</v>
      </c>
      <c r="AA244" s="80">
        <f>AA245+AA257+AA256</f>
        <v>39087406.5</v>
      </c>
      <c r="AB244" s="80">
        <f t="shared" ref="AB244" si="139">AB245+AB257+AB256</f>
        <v>11191114.799999997</v>
      </c>
      <c r="AC244" s="80">
        <f>AC245+AC257+AC256</f>
        <v>50278521.299999997</v>
      </c>
      <c r="AD244" s="81"/>
      <c r="AE244" s="81"/>
      <c r="AF244" s="81"/>
    </row>
    <row r="245" spans="1:32" s="82" customFormat="1" ht="51" x14ac:dyDescent="0.2">
      <c r="A245" s="76" t="s">
        <v>451</v>
      </c>
      <c r="B245" s="128" t="s">
        <v>289</v>
      </c>
      <c r="C245" s="78" t="s">
        <v>450</v>
      </c>
      <c r="D245" s="78" t="s">
        <v>452</v>
      </c>
      <c r="E245" s="78" t="s">
        <v>196</v>
      </c>
      <c r="F245" s="78" t="s">
        <v>246</v>
      </c>
      <c r="G245" s="89"/>
      <c r="H245" s="79" t="e">
        <f>SUM(#REF!)</f>
        <v>#REF!</v>
      </c>
      <c r="I245" s="79" t="e">
        <f>SUM(#REF!)</f>
        <v>#REF!</v>
      </c>
      <c r="J245" s="79" t="e">
        <f>SUM(#REF!)</f>
        <v>#REF!</v>
      </c>
      <c r="K245" s="79" t="e">
        <f>SUM(#REF!)</f>
        <v>#REF!</v>
      </c>
      <c r="L245" s="79" t="e">
        <f>SUM(#REF!)</f>
        <v>#REF!</v>
      </c>
      <c r="M245" s="79" t="e">
        <f>SUM(#REF!)</f>
        <v>#REF!</v>
      </c>
      <c r="N245" s="79" t="e">
        <f>SUM(#REF!)</f>
        <v>#REF!</v>
      </c>
      <c r="O245" s="79" t="e">
        <f>SUM(#REF!)</f>
        <v>#REF!</v>
      </c>
      <c r="P245" s="80">
        <f>P246</f>
        <v>3912220</v>
      </c>
      <c r="Q245" s="80" t="e">
        <f>SUM(#REF!)+Q246+#REF!</f>
        <v>#REF!</v>
      </c>
      <c r="R245" s="80" t="e">
        <f>SUM(#REF!)+R246+#REF!</f>
        <v>#REF!</v>
      </c>
      <c r="S245" s="80" t="e">
        <f>SUM(#REF!)+S246+#REF!</f>
        <v>#REF!</v>
      </c>
      <c r="T245" s="80" t="e">
        <f>SUM(#REF!)+T246+#REF!</f>
        <v>#REF!</v>
      </c>
      <c r="U245" s="80" t="e">
        <f>SUM(#REF!)+U246+#REF!</f>
        <v>#REF!</v>
      </c>
      <c r="V245" s="80" t="e">
        <f>SUM(#REF!)+V246+#REF!</f>
        <v>#REF!</v>
      </c>
      <c r="W245" s="80"/>
      <c r="X245" s="80" t="e">
        <f>SUM(#REF!)+X246+#REF!</f>
        <v>#REF!</v>
      </c>
      <c r="Y245" s="79"/>
      <c r="Z245" s="79">
        <f t="shared" si="110"/>
        <v>35175186.5</v>
      </c>
      <c r="AA245" s="80">
        <f>AA246+AA253</f>
        <v>39087406.5</v>
      </c>
      <c r="AB245" s="80">
        <f t="shared" ref="AB245:AC245" si="140">AB246+AB253</f>
        <v>11191114.799999997</v>
      </c>
      <c r="AC245" s="80">
        <f t="shared" si="140"/>
        <v>50278521.299999997</v>
      </c>
      <c r="AD245" s="81"/>
      <c r="AE245" s="81"/>
      <c r="AF245" s="81"/>
    </row>
    <row r="246" spans="1:32" s="82" customFormat="1" x14ac:dyDescent="0.2">
      <c r="A246" s="76" t="s">
        <v>453</v>
      </c>
      <c r="B246" s="128" t="s">
        <v>289</v>
      </c>
      <c r="C246" s="78" t="s">
        <v>450</v>
      </c>
      <c r="D246" s="78" t="s">
        <v>452</v>
      </c>
      <c r="E246" s="78" t="s">
        <v>168</v>
      </c>
      <c r="F246" s="78" t="s">
        <v>246</v>
      </c>
      <c r="G246" s="78"/>
      <c r="H246" s="79">
        <f>H254</f>
        <v>50000</v>
      </c>
      <c r="I246" s="79"/>
      <c r="J246" s="79"/>
      <c r="K246" s="79"/>
      <c r="L246" s="79"/>
      <c r="M246" s="79"/>
      <c r="N246" s="79"/>
      <c r="O246" s="79"/>
      <c r="P246" s="80">
        <f t="shared" ref="P246:V246" si="141">P247+P250</f>
        <v>3912220</v>
      </c>
      <c r="Q246" s="80">
        <f t="shared" si="141"/>
        <v>0</v>
      </c>
      <c r="R246" s="80">
        <f t="shared" si="141"/>
        <v>0</v>
      </c>
      <c r="S246" s="80">
        <f t="shared" si="141"/>
        <v>0</v>
      </c>
      <c r="T246" s="80">
        <f t="shared" si="141"/>
        <v>0</v>
      </c>
      <c r="U246" s="80">
        <f t="shared" si="141"/>
        <v>0</v>
      </c>
      <c r="V246" s="80">
        <f t="shared" si="141"/>
        <v>0</v>
      </c>
      <c r="W246" s="80"/>
      <c r="X246" s="80">
        <f>X247+X250</f>
        <v>3912220</v>
      </c>
      <c r="Y246" s="79"/>
      <c r="Z246" s="79">
        <f t="shared" si="110"/>
        <v>35169400</v>
      </c>
      <c r="AA246" s="80">
        <f>AA247+AA250+AA248+AA249+AA252</f>
        <v>39081620</v>
      </c>
      <c r="AB246" s="80">
        <f t="shared" ref="AB246:AC246" si="142">AB247+AB250+AB248+AB249+AB252</f>
        <v>11191114.799999997</v>
      </c>
      <c r="AC246" s="80">
        <f t="shared" si="142"/>
        <v>50272734.799999997</v>
      </c>
      <c r="AD246" s="81"/>
      <c r="AE246" s="81"/>
      <c r="AF246" s="81"/>
    </row>
    <row r="247" spans="1:32" s="82" customFormat="1" ht="42" customHeight="1" x14ac:dyDescent="0.2">
      <c r="A247" s="87" t="s">
        <v>454</v>
      </c>
      <c r="B247" s="126" t="s">
        <v>289</v>
      </c>
      <c r="C247" s="89" t="s">
        <v>450</v>
      </c>
      <c r="D247" s="89" t="s">
        <v>452</v>
      </c>
      <c r="E247" s="89" t="s">
        <v>196</v>
      </c>
      <c r="F247" s="89" t="s">
        <v>246</v>
      </c>
      <c r="G247" s="89" t="s">
        <v>342</v>
      </c>
      <c r="H247" s="84"/>
      <c r="I247" s="84"/>
      <c r="J247" s="84"/>
      <c r="K247" s="84"/>
      <c r="L247" s="84"/>
      <c r="M247" s="84"/>
      <c r="N247" s="84"/>
      <c r="O247" s="84"/>
      <c r="P247" s="90">
        <v>412220</v>
      </c>
      <c r="Q247" s="84">
        <f>R247+S247+T247+U247+V247</f>
        <v>0</v>
      </c>
      <c r="R247" s="84">
        <v>0</v>
      </c>
      <c r="S247" s="79"/>
      <c r="T247" s="84">
        <v>0</v>
      </c>
      <c r="U247" s="84">
        <v>0</v>
      </c>
      <c r="V247" s="84"/>
      <c r="W247" s="84"/>
      <c r="X247" s="84">
        <f>P247+Q247</f>
        <v>412220</v>
      </c>
      <c r="Y247" s="84" t="s">
        <v>227</v>
      </c>
      <c r="Z247" s="84">
        <f t="shared" si="110"/>
        <v>0</v>
      </c>
      <c r="AA247" s="90">
        <v>412220</v>
      </c>
      <c r="AB247" s="90">
        <f t="shared" ref="AB247:AB258" si="143">AC247-AA247</f>
        <v>0</v>
      </c>
      <c r="AC247" s="90">
        <v>412220</v>
      </c>
      <c r="AD247" s="81"/>
      <c r="AE247" s="81"/>
      <c r="AF247" s="81"/>
    </row>
    <row r="248" spans="1:32" s="82" customFormat="1" hidden="1" x14ac:dyDescent="0.2">
      <c r="A248" s="87"/>
      <c r="B248" s="126"/>
      <c r="C248" s="89"/>
      <c r="D248" s="89"/>
      <c r="E248" s="89"/>
      <c r="F248" s="89"/>
      <c r="G248" s="89"/>
      <c r="H248" s="84"/>
      <c r="I248" s="84"/>
      <c r="J248" s="84"/>
      <c r="K248" s="84"/>
      <c r="L248" s="84"/>
      <c r="M248" s="84"/>
      <c r="N248" s="84"/>
      <c r="O248" s="84"/>
      <c r="P248" s="90"/>
      <c r="Q248" s="84"/>
      <c r="R248" s="84"/>
      <c r="S248" s="79"/>
      <c r="T248" s="84"/>
      <c r="U248" s="84"/>
      <c r="V248" s="84"/>
      <c r="W248" s="84"/>
      <c r="X248" s="84"/>
      <c r="Y248" s="84"/>
      <c r="Z248" s="84">
        <f t="shared" si="110"/>
        <v>0</v>
      </c>
      <c r="AA248" s="90"/>
      <c r="AB248" s="90">
        <f t="shared" si="143"/>
        <v>0</v>
      </c>
      <c r="AC248" s="90"/>
      <c r="AD248" s="81"/>
      <c r="AE248" s="81"/>
      <c r="AF248" s="81"/>
    </row>
    <row r="249" spans="1:32" s="82" customFormat="1" hidden="1" x14ac:dyDescent="0.2">
      <c r="A249" s="87"/>
      <c r="B249" s="126"/>
      <c r="C249" s="89"/>
      <c r="D249" s="89"/>
      <c r="E249" s="89"/>
      <c r="F249" s="89"/>
      <c r="G249" s="89"/>
      <c r="H249" s="84"/>
      <c r="I249" s="84"/>
      <c r="J249" s="84"/>
      <c r="K249" s="84"/>
      <c r="L249" s="84"/>
      <c r="M249" s="84"/>
      <c r="N249" s="84"/>
      <c r="O249" s="84"/>
      <c r="P249" s="90"/>
      <c r="Q249" s="84"/>
      <c r="R249" s="84"/>
      <c r="S249" s="79"/>
      <c r="T249" s="84"/>
      <c r="U249" s="84"/>
      <c r="V249" s="84"/>
      <c r="W249" s="84"/>
      <c r="X249" s="84"/>
      <c r="Y249" s="84"/>
      <c r="Z249" s="84">
        <f t="shared" si="110"/>
        <v>0</v>
      </c>
      <c r="AA249" s="90"/>
      <c r="AB249" s="90">
        <f t="shared" si="143"/>
        <v>0</v>
      </c>
      <c r="AC249" s="90"/>
      <c r="AD249" s="81"/>
      <c r="AE249" s="81"/>
      <c r="AF249" s="81"/>
    </row>
    <row r="250" spans="1:32" s="82" customFormat="1" ht="25.5" x14ac:dyDescent="0.2">
      <c r="A250" s="87" t="s">
        <v>455</v>
      </c>
      <c r="B250" s="126" t="s">
        <v>289</v>
      </c>
      <c r="C250" s="89" t="s">
        <v>450</v>
      </c>
      <c r="D250" s="89" t="s">
        <v>452</v>
      </c>
      <c r="E250" s="89" t="s">
        <v>196</v>
      </c>
      <c r="F250" s="89" t="s">
        <v>246</v>
      </c>
      <c r="G250" s="89" t="s">
        <v>378</v>
      </c>
      <c r="H250" s="84"/>
      <c r="I250" s="84"/>
      <c r="J250" s="84"/>
      <c r="K250" s="84"/>
      <c r="L250" s="84"/>
      <c r="M250" s="84"/>
      <c r="N250" s="84"/>
      <c r="O250" s="84"/>
      <c r="P250" s="90">
        <v>3500000</v>
      </c>
      <c r="Q250" s="84">
        <f t="shared" ref="Q250:Q257" si="144">R250+S250+T250+U250+V250</f>
        <v>0</v>
      </c>
      <c r="R250" s="84">
        <v>0</v>
      </c>
      <c r="S250" s="84">
        <v>0</v>
      </c>
      <c r="T250" s="79"/>
      <c r="U250" s="84"/>
      <c r="V250" s="84"/>
      <c r="W250" s="84"/>
      <c r="X250" s="84">
        <f t="shared" ref="X250:X257" si="145">P250+Q250</f>
        <v>3500000</v>
      </c>
      <c r="Y250" s="84"/>
      <c r="Z250" s="84">
        <f t="shared" si="110"/>
        <v>35029400</v>
      </c>
      <c r="AA250" s="90">
        <f>38640000+29400-140000</f>
        <v>38529400</v>
      </c>
      <c r="AB250" s="90">
        <f t="shared" si="143"/>
        <v>11191114.799999997</v>
      </c>
      <c r="AC250" s="90">
        <f>49771400-50885.2</f>
        <v>49720514.799999997</v>
      </c>
      <c r="AD250" s="81"/>
      <c r="AE250" s="81"/>
      <c r="AF250" s="81"/>
    </row>
    <row r="251" spans="1:32" s="82" customFormat="1" hidden="1" x14ac:dyDescent="0.2">
      <c r="A251" s="87"/>
      <c r="B251" s="126" t="s">
        <v>289</v>
      </c>
      <c r="C251" s="89" t="s">
        <v>450</v>
      </c>
      <c r="D251" s="89"/>
      <c r="E251" s="89" t="s">
        <v>196</v>
      </c>
      <c r="F251" s="89" t="s">
        <v>187</v>
      </c>
      <c r="G251" s="89"/>
      <c r="H251" s="79"/>
      <c r="I251" s="79"/>
      <c r="J251" s="79"/>
      <c r="K251" s="79"/>
      <c r="L251" s="79"/>
      <c r="M251" s="79"/>
      <c r="N251" s="79"/>
      <c r="O251" s="79"/>
      <c r="P251" s="90">
        <v>0</v>
      </c>
      <c r="Q251" s="84">
        <f t="shared" si="144"/>
        <v>0</v>
      </c>
      <c r="R251" s="84"/>
      <c r="S251" s="84"/>
      <c r="T251" s="84"/>
      <c r="U251" s="84"/>
      <c r="V251" s="84"/>
      <c r="W251" s="84"/>
      <c r="X251" s="84">
        <f t="shared" si="145"/>
        <v>0</v>
      </c>
      <c r="Y251" s="84"/>
      <c r="Z251" s="84">
        <f t="shared" si="110"/>
        <v>0</v>
      </c>
      <c r="AA251" s="90">
        <v>0</v>
      </c>
      <c r="AB251" s="90">
        <f t="shared" si="143"/>
        <v>0</v>
      </c>
      <c r="AC251" s="90">
        <v>0</v>
      </c>
      <c r="AD251" s="81"/>
      <c r="AE251" s="81"/>
      <c r="AF251" s="81"/>
    </row>
    <row r="252" spans="1:32" s="82" customFormat="1" ht="25.5" x14ac:dyDescent="0.2">
      <c r="A252" s="87" t="s">
        <v>456</v>
      </c>
      <c r="B252" s="126" t="s">
        <v>289</v>
      </c>
      <c r="C252" s="89" t="s">
        <v>450</v>
      </c>
      <c r="D252" s="89" t="s">
        <v>452</v>
      </c>
      <c r="E252" s="89" t="s">
        <v>196</v>
      </c>
      <c r="F252" s="89" t="s">
        <v>187</v>
      </c>
      <c r="G252" s="89" t="s">
        <v>378</v>
      </c>
      <c r="H252" s="79"/>
      <c r="I252" s="79"/>
      <c r="J252" s="79"/>
      <c r="K252" s="79"/>
      <c r="L252" s="79"/>
      <c r="M252" s="79"/>
      <c r="N252" s="79"/>
      <c r="O252" s="79"/>
      <c r="P252" s="90"/>
      <c r="Q252" s="84"/>
      <c r="R252" s="84"/>
      <c r="S252" s="84"/>
      <c r="T252" s="84"/>
      <c r="U252" s="84"/>
      <c r="V252" s="84"/>
      <c r="W252" s="84"/>
      <c r="X252" s="84"/>
      <c r="Y252" s="84"/>
      <c r="Z252" s="84"/>
      <c r="AA252" s="90">
        <v>140000</v>
      </c>
      <c r="AB252" s="90">
        <f t="shared" si="143"/>
        <v>0</v>
      </c>
      <c r="AC252" s="90">
        <v>140000</v>
      </c>
      <c r="AD252" s="81"/>
      <c r="AE252" s="81"/>
      <c r="AF252" s="81"/>
    </row>
    <row r="253" spans="1:32" s="82" customFormat="1" x14ac:dyDescent="0.2">
      <c r="A253" s="87" t="s">
        <v>421</v>
      </c>
      <c r="B253" s="126" t="s">
        <v>289</v>
      </c>
      <c r="C253" s="89" t="s">
        <v>450</v>
      </c>
      <c r="D253" s="89" t="s">
        <v>452</v>
      </c>
      <c r="E253" s="89" t="s">
        <v>196</v>
      </c>
      <c r="F253" s="89" t="s">
        <v>199</v>
      </c>
      <c r="G253" s="89"/>
      <c r="H253" s="84"/>
      <c r="I253" s="84"/>
      <c r="J253" s="84"/>
      <c r="K253" s="84"/>
      <c r="L253" s="84"/>
      <c r="M253" s="84"/>
      <c r="N253" s="84"/>
      <c r="O253" s="84"/>
      <c r="P253" s="90">
        <v>0</v>
      </c>
      <c r="Q253" s="84">
        <f t="shared" si="144"/>
        <v>0</v>
      </c>
      <c r="R253" s="84">
        <v>0</v>
      </c>
      <c r="S253" s="84"/>
      <c r="T253" s="84">
        <v>0</v>
      </c>
      <c r="U253" s="84"/>
      <c r="V253" s="84"/>
      <c r="W253" s="84"/>
      <c r="X253" s="84">
        <f t="shared" si="145"/>
        <v>0</v>
      </c>
      <c r="Y253" s="84"/>
      <c r="Z253" s="84">
        <f t="shared" si="110"/>
        <v>5786.5</v>
      </c>
      <c r="AA253" s="90">
        <v>5786.5</v>
      </c>
      <c r="AB253" s="90">
        <f t="shared" si="143"/>
        <v>0</v>
      </c>
      <c r="AC253" s="90">
        <v>5786.5</v>
      </c>
      <c r="AD253" s="81"/>
      <c r="AE253" s="81"/>
      <c r="AF253" s="81"/>
    </row>
    <row r="254" spans="1:32" s="162" customFormat="1" ht="25.5" hidden="1" x14ac:dyDescent="0.2">
      <c r="A254" s="157" t="s">
        <v>457</v>
      </c>
      <c r="B254" s="130">
        <v>804</v>
      </c>
      <c r="C254" s="78" t="s">
        <v>458</v>
      </c>
      <c r="D254" s="78" t="s">
        <v>167</v>
      </c>
      <c r="E254" s="78" t="s">
        <v>168</v>
      </c>
      <c r="F254" s="78"/>
      <c r="G254" s="78"/>
      <c r="H254" s="80">
        <f t="shared" ref="H254:O254" si="146">H255</f>
        <v>50000</v>
      </c>
      <c r="I254" s="80">
        <f t="shared" si="146"/>
        <v>0</v>
      </c>
      <c r="J254" s="80">
        <f t="shared" si="146"/>
        <v>0</v>
      </c>
      <c r="K254" s="80">
        <f t="shared" si="146"/>
        <v>0</v>
      </c>
      <c r="L254" s="80">
        <f t="shared" si="146"/>
        <v>0</v>
      </c>
      <c r="M254" s="80">
        <f t="shared" si="146"/>
        <v>0</v>
      </c>
      <c r="N254" s="80">
        <f t="shared" si="146"/>
        <v>50000</v>
      </c>
      <c r="O254" s="80">
        <f t="shared" si="146"/>
        <v>40000</v>
      </c>
      <c r="P254" s="80">
        <v>0</v>
      </c>
      <c r="Q254" s="80" t="e">
        <f t="shared" si="144"/>
        <v>#REF!</v>
      </c>
      <c r="R254" s="80" t="e">
        <f>R255+#REF!</f>
        <v>#REF!</v>
      </c>
      <c r="S254" s="80" t="e">
        <f>S255+#REF!</f>
        <v>#REF!</v>
      </c>
      <c r="T254" s="80">
        <v>0</v>
      </c>
      <c r="U254" s="80" t="e">
        <f>U255+#REF!</f>
        <v>#REF!</v>
      </c>
      <c r="V254" s="80" t="e">
        <f>V255+#REF!</f>
        <v>#REF!</v>
      </c>
      <c r="W254" s="80"/>
      <c r="X254" s="80" t="e">
        <f t="shared" si="145"/>
        <v>#REF!</v>
      </c>
      <c r="Y254" s="80"/>
      <c r="Z254" s="80">
        <f t="shared" si="110"/>
        <v>0</v>
      </c>
      <c r="AA254" s="80">
        <v>0</v>
      </c>
      <c r="AB254" s="90">
        <f t="shared" si="143"/>
        <v>0</v>
      </c>
      <c r="AC254" s="80">
        <v>0</v>
      </c>
      <c r="AD254" s="161"/>
      <c r="AE254" s="161"/>
      <c r="AF254" s="161"/>
    </row>
    <row r="255" spans="1:32" s="82" customFormat="1" hidden="1" x14ac:dyDescent="0.2">
      <c r="A255" s="91" t="s">
        <v>459</v>
      </c>
      <c r="B255" s="95">
        <v>804</v>
      </c>
      <c r="C255" s="89" t="s">
        <v>458</v>
      </c>
      <c r="D255" s="89" t="s">
        <v>460</v>
      </c>
      <c r="E255" s="89" t="s">
        <v>461</v>
      </c>
      <c r="F255" s="89" t="s">
        <v>207</v>
      </c>
      <c r="G255" s="89"/>
      <c r="H255" s="84">
        <v>50000</v>
      </c>
      <c r="I255" s="84">
        <f>SUM(J255:M255)</f>
        <v>0</v>
      </c>
      <c r="J255" s="84"/>
      <c r="K255" s="84"/>
      <c r="L255" s="84"/>
      <c r="M255" s="84"/>
      <c r="N255" s="84">
        <f>H255+I255</f>
        <v>50000</v>
      </c>
      <c r="O255" s="84">
        <f>50000*80%</f>
        <v>40000</v>
      </c>
      <c r="P255" s="90">
        <v>0</v>
      </c>
      <c r="Q255" s="84">
        <f t="shared" si="144"/>
        <v>0</v>
      </c>
      <c r="R255" s="84">
        <v>0</v>
      </c>
      <c r="S255" s="84"/>
      <c r="T255" s="84">
        <v>0</v>
      </c>
      <c r="U255" s="84"/>
      <c r="V255" s="84"/>
      <c r="W255" s="84"/>
      <c r="X255" s="84">
        <f t="shared" si="145"/>
        <v>0</v>
      </c>
      <c r="Y255" s="84"/>
      <c r="Z255" s="84">
        <f t="shared" si="110"/>
        <v>0</v>
      </c>
      <c r="AA255" s="90">
        <v>0</v>
      </c>
      <c r="AB255" s="90">
        <f t="shared" si="143"/>
        <v>0</v>
      </c>
      <c r="AC255" s="90">
        <v>0</v>
      </c>
      <c r="AD255" s="81"/>
      <c r="AE255" s="81"/>
      <c r="AF255" s="81"/>
    </row>
    <row r="256" spans="1:32" s="82" customFormat="1" ht="25.5" hidden="1" x14ac:dyDescent="0.2">
      <c r="A256" s="91" t="s">
        <v>462</v>
      </c>
      <c r="B256" s="95"/>
      <c r="C256" s="89"/>
      <c r="D256" s="89" t="s">
        <v>463</v>
      </c>
      <c r="E256" s="89"/>
      <c r="F256" s="89" t="s">
        <v>187</v>
      </c>
      <c r="G256" s="89" t="s">
        <v>268</v>
      </c>
      <c r="H256" s="84"/>
      <c r="I256" s="84"/>
      <c r="J256" s="84"/>
      <c r="K256" s="84"/>
      <c r="L256" s="84"/>
      <c r="M256" s="84"/>
      <c r="N256" s="84"/>
      <c r="O256" s="84"/>
      <c r="P256" s="90">
        <v>0</v>
      </c>
      <c r="Q256" s="84">
        <f t="shared" si="144"/>
        <v>0</v>
      </c>
      <c r="R256" s="84">
        <v>0</v>
      </c>
      <c r="S256" s="84"/>
      <c r="T256" s="84"/>
      <c r="U256" s="84"/>
      <c r="V256" s="84"/>
      <c r="W256" s="84"/>
      <c r="X256" s="84">
        <f t="shared" si="145"/>
        <v>0</v>
      </c>
      <c r="Y256" s="84"/>
      <c r="Z256" s="84">
        <f t="shared" si="110"/>
        <v>0</v>
      </c>
      <c r="AA256" s="90">
        <v>0</v>
      </c>
      <c r="AB256" s="90">
        <f t="shared" si="143"/>
        <v>0</v>
      </c>
      <c r="AC256" s="90">
        <v>0</v>
      </c>
      <c r="AD256" s="81"/>
      <c r="AE256" s="81"/>
      <c r="AF256" s="81"/>
    </row>
    <row r="257" spans="1:32" s="82" customFormat="1" ht="25.5" hidden="1" x14ac:dyDescent="0.2">
      <c r="A257" s="91" t="s">
        <v>464</v>
      </c>
      <c r="B257" s="95"/>
      <c r="C257" s="89"/>
      <c r="D257" s="89" t="s">
        <v>465</v>
      </c>
      <c r="E257" s="89" t="s">
        <v>196</v>
      </c>
      <c r="F257" s="89" t="s">
        <v>246</v>
      </c>
      <c r="G257" s="89" t="s">
        <v>342</v>
      </c>
      <c r="H257" s="84"/>
      <c r="I257" s="84"/>
      <c r="J257" s="84"/>
      <c r="K257" s="84"/>
      <c r="L257" s="84"/>
      <c r="M257" s="84"/>
      <c r="N257" s="84"/>
      <c r="O257" s="84"/>
      <c r="P257" s="90">
        <v>0</v>
      </c>
      <c r="Q257" s="84">
        <f t="shared" si="144"/>
        <v>0</v>
      </c>
      <c r="R257" s="84">
        <v>0</v>
      </c>
      <c r="S257" s="84"/>
      <c r="T257" s="84">
        <v>0</v>
      </c>
      <c r="U257" s="84"/>
      <c r="V257" s="84"/>
      <c r="W257" s="84"/>
      <c r="X257" s="84">
        <f t="shared" si="145"/>
        <v>0</v>
      </c>
      <c r="Y257" s="84"/>
      <c r="Z257" s="84">
        <f t="shared" si="110"/>
        <v>0</v>
      </c>
      <c r="AA257" s="90">
        <v>0</v>
      </c>
      <c r="AB257" s="90">
        <f t="shared" si="143"/>
        <v>0</v>
      </c>
      <c r="AC257" s="90">
        <v>0</v>
      </c>
      <c r="AD257" s="81"/>
      <c r="AE257" s="81"/>
      <c r="AF257" s="81"/>
    </row>
    <row r="258" spans="1:32" s="82" customFormat="1" hidden="1" x14ac:dyDescent="0.2">
      <c r="A258" s="91"/>
      <c r="B258" s="95"/>
      <c r="C258" s="89"/>
      <c r="D258" s="89"/>
      <c r="E258" s="89"/>
      <c r="F258" s="89"/>
      <c r="G258" s="89"/>
      <c r="H258" s="84"/>
      <c r="I258" s="84"/>
      <c r="J258" s="84"/>
      <c r="K258" s="84"/>
      <c r="L258" s="84"/>
      <c r="M258" s="84"/>
      <c r="N258" s="84"/>
      <c r="O258" s="84"/>
      <c r="P258" s="90"/>
      <c r="Q258" s="84"/>
      <c r="R258" s="84"/>
      <c r="S258" s="84"/>
      <c r="T258" s="84"/>
      <c r="U258" s="84"/>
      <c r="V258" s="84"/>
      <c r="W258" s="84"/>
      <c r="X258" s="84"/>
      <c r="Y258" s="84"/>
      <c r="Z258" s="84">
        <f t="shared" si="110"/>
        <v>0</v>
      </c>
      <c r="AA258" s="90"/>
      <c r="AB258" s="90">
        <f t="shared" si="143"/>
        <v>0</v>
      </c>
      <c r="AC258" s="90"/>
      <c r="AD258" s="81"/>
      <c r="AE258" s="81"/>
      <c r="AF258" s="81"/>
    </row>
    <row r="259" spans="1:32" s="99" customFormat="1" ht="25.5" x14ac:dyDescent="0.2">
      <c r="A259" s="114" t="s">
        <v>466</v>
      </c>
      <c r="B259" s="130">
        <v>804</v>
      </c>
      <c r="C259" s="78" t="s">
        <v>458</v>
      </c>
      <c r="D259" s="78" t="s">
        <v>324</v>
      </c>
      <c r="E259" s="78" t="s">
        <v>168</v>
      </c>
      <c r="F259" s="78" t="s">
        <v>168</v>
      </c>
      <c r="G259" s="78"/>
      <c r="H259" s="79" t="e">
        <f>SUM(#REF!)</f>
        <v>#REF!</v>
      </c>
      <c r="I259" s="79" t="e">
        <f>SUM(#REF!)</f>
        <v>#REF!</v>
      </c>
      <c r="J259" s="79" t="e">
        <f>SUM(#REF!)</f>
        <v>#REF!</v>
      </c>
      <c r="K259" s="79" t="e">
        <f>SUM(#REF!)</f>
        <v>#REF!</v>
      </c>
      <c r="L259" s="79" t="e">
        <f>SUM(#REF!)</f>
        <v>#REF!</v>
      </c>
      <c r="M259" s="79" t="e">
        <f>SUM(#REF!)</f>
        <v>#REF!</v>
      </c>
      <c r="N259" s="79" t="e">
        <f>SUM(#REF!)</f>
        <v>#REF!</v>
      </c>
      <c r="O259" s="79" t="e">
        <f>SUM(#REF!)</f>
        <v>#REF!</v>
      </c>
      <c r="P259" s="80">
        <f t="shared" ref="P259:Y259" si="147">P260+P263+P264+P265</f>
        <v>1018875.21</v>
      </c>
      <c r="Q259" s="80" t="e">
        <f t="shared" si="147"/>
        <v>#REF!</v>
      </c>
      <c r="R259" s="80" t="e">
        <f t="shared" si="147"/>
        <v>#REF!</v>
      </c>
      <c r="S259" s="80" t="e">
        <f t="shared" si="147"/>
        <v>#REF!</v>
      </c>
      <c r="T259" s="80" t="e">
        <f t="shared" si="147"/>
        <v>#REF!</v>
      </c>
      <c r="U259" s="80" t="e">
        <f t="shared" si="147"/>
        <v>#REF!</v>
      </c>
      <c r="V259" s="80" t="e">
        <f t="shared" si="147"/>
        <v>#REF!</v>
      </c>
      <c r="W259" s="80" t="e">
        <f t="shared" si="147"/>
        <v>#REF!</v>
      </c>
      <c r="X259" s="80" t="e">
        <f t="shared" si="147"/>
        <v>#REF!</v>
      </c>
      <c r="Y259" s="80" t="e">
        <f t="shared" si="147"/>
        <v>#REF!</v>
      </c>
      <c r="Z259" s="80">
        <f t="shared" si="110"/>
        <v>1837601.19</v>
      </c>
      <c r="AA259" s="80">
        <f>AA260+AA263+AA264+AA265</f>
        <v>2856476.4</v>
      </c>
      <c r="AB259" s="80">
        <f t="shared" ref="AB259" si="148">AB260+AB263+AB264+AB265</f>
        <v>163723.92999999993</v>
      </c>
      <c r="AC259" s="80">
        <f>AC260+AC263+AC264+AC265</f>
        <v>3020200.33</v>
      </c>
      <c r="AD259" s="98"/>
      <c r="AE259" s="98"/>
      <c r="AF259" s="98"/>
    </row>
    <row r="260" spans="1:32" s="99" customFormat="1" x14ac:dyDescent="0.2">
      <c r="A260" s="76" t="s">
        <v>173</v>
      </c>
      <c r="B260" s="130">
        <v>804</v>
      </c>
      <c r="C260" s="78" t="s">
        <v>458</v>
      </c>
      <c r="D260" s="78" t="s">
        <v>324</v>
      </c>
      <c r="E260" s="78" t="s">
        <v>467</v>
      </c>
      <c r="F260" s="78" t="s">
        <v>174</v>
      </c>
      <c r="G260" s="78"/>
      <c r="H260" s="79"/>
      <c r="I260" s="79"/>
      <c r="J260" s="79"/>
      <c r="K260" s="79"/>
      <c r="L260" s="79"/>
      <c r="M260" s="79"/>
      <c r="N260" s="79"/>
      <c r="O260" s="79"/>
      <c r="P260" s="80">
        <f>P261+P262</f>
        <v>948875.21</v>
      </c>
      <c r="Q260" s="80" t="e">
        <f>Q261+Q262+#REF!+#REF!+#REF!+#REF!+#REF!+#REF!</f>
        <v>#REF!</v>
      </c>
      <c r="R260" s="80" t="e">
        <f>R261+R262+#REF!+#REF!+#REF!+#REF!+#REF!+#REF!</f>
        <v>#REF!</v>
      </c>
      <c r="S260" s="80" t="e">
        <f>S261+S262+#REF!+#REF!+#REF!+#REF!+#REF!+#REF!</f>
        <v>#REF!</v>
      </c>
      <c r="T260" s="80" t="e">
        <f>T261+T262+#REF!+#REF!+#REF!+#REF!+#REF!+#REF!</f>
        <v>#REF!</v>
      </c>
      <c r="U260" s="80" t="e">
        <f>U261+U262+#REF!+#REF!+#REF!+#REF!+#REF!+#REF!</f>
        <v>#REF!</v>
      </c>
      <c r="V260" s="80" t="e">
        <f>V261+V262+#REF!+#REF!+#REF!+#REF!+#REF!+#REF!</f>
        <v>#REF!</v>
      </c>
      <c r="W260" s="80" t="e">
        <f>W261+W262+#REF!+#REF!+#REF!+#REF!+#REF!+#REF!</f>
        <v>#REF!</v>
      </c>
      <c r="X260" s="80" t="e">
        <f>X261+X262+#REF!+#REF!+#REF!+#REF!+#REF!+#REF!</f>
        <v>#REF!</v>
      </c>
      <c r="Y260" s="80" t="e">
        <f>Y261+Y262+#REF!+#REF!+#REF!+#REF!+#REF!+#REF!</f>
        <v>#REF!</v>
      </c>
      <c r="Z260" s="80">
        <f t="shared" si="110"/>
        <v>0</v>
      </c>
      <c r="AA260" s="80">
        <f>AA261+AA262</f>
        <v>948875.21</v>
      </c>
      <c r="AB260" s="80">
        <f t="shared" ref="AB260" si="149">AB261+AB262</f>
        <v>74723.929999999935</v>
      </c>
      <c r="AC260" s="80">
        <f>AC261+AC262</f>
        <v>1023599.1399999999</v>
      </c>
      <c r="AD260" s="98"/>
      <c r="AE260" s="98"/>
      <c r="AF260" s="98"/>
    </row>
    <row r="261" spans="1:32" s="82" customFormat="1" x14ac:dyDescent="0.2">
      <c r="A261" s="87" t="s">
        <v>175</v>
      </c>
      <c r="B261" s="95">
        <v>804</v>
      </c>
      <c r="C261" s="89" t="s">
        <v>458</v>
      </c>
      <c r="D261" s="89" t="s">
        <v>324</v>
      </c>
      <c r="E261" s="89" t="s">
        <v>468</v>
      </c>
      <c r="F261" s="89" t="s">
        <v>177</v>
      </c>
      <c r="G261" s="89"/>
      <c r="H261" s="84"/>
      <c r="I261" s="84"/>
      <c r="J261" s="84"/>
      <c r="K261" s="84"/>
      <c r="L261" s="84"/>
      <c r="M261" s="84"/>
      <c r="N261" s="84"/>
      <c r="O261" s="84"/>
      <c r="P261" s="90">
        <v>662314.9</v>
      </c>
      <c r="Q261" s="84">
        <f>R261+S261+T261+U261+V261</f>
        <v>0</v>
      </c>
      <c r="R261" s="84">
        <v>0</v>
      </c>
      <c r="S261" s="84"/>
      <c r="T261" s="84"/>
      <c r="U261" s="84"/>
      <c r="V261" s="84">
        <v>0</v>
      </c>
      <c r="W261" s="84"/>
      <c r="X261" s="84">
        <f>P261+Q261</f>
        <v>662314.9</v>
      </c>
      <c r="Y261" s="84"/>
      <c r="Z261" s="84">
        <f t="shared" si="110"/>
        <v>0</v>
      </c>
      <c r="AA261" s="90">
        <v>662314.9</v>
      </c>
      <c r="AB261" s="90">
        <f t="shared" ref="AB261:AB265" si="150">AC261-AA261</f>
        <v>57391.649999999907</v>
      </c>
      <c r="AC261" s="90">
        <f>715285.48+4421.07</f>
        <v>719706.54999999993</v>
      </c>
      <c r="AD261" s="81"/>
      <c r="AE261" s="81"/>
      <c r="AF261" s="81"/>
    </row>
    <row r="262" spans="1:32" s="82" customFormat="1" x14ac:dyDescent="0.2">
      <c r="A262" s="91" t="s">
        <v>178</v>
      </c>
      <c r="B262" s="95">
        <v>804</v>
      </c>
      <c r="C262" s="89" t="s">
        <v>458</v>
      </c>
      <c r="D262" s="89" t="s">
        <v>324</v>
      </c>
      <c r="E262" s="89" t="s">
        <v>469</v>
      </c>
      <c r="F262" s="89" t="s">
        <v>180</v>
      </c>
      <c r="G262" s="89"/>
      <c r="H262" s="84"/>
      <c r="I262" s="84"/>
      <c r="J262" s="84"/>
      <c r="K262" s="84"/>
      <c r="L262" s="84"/>
      <c r="M262" s="84"/>
      <c r="N262" s="84"/>
      <c r="O262" s="84"/>
      <c r="P262" s="90">
        <v>286560.31</v>
      </c>
      <c r="Q262" s="84">
        <f>R262+S262+T262+U262+V262</f>
        <v>0</v>
      </c>
      <c r="R262" s="84"/>
      <c r="S262" s="84"/>
      <c r="T262" s="84"/>
      <c r="U262" s="84"/>
      <c r="V262" s="84">
        <v>0</v>
      </c>
      <c r="W262" s="84"/>
      <c r="X262" s="84">
        <f>P262+Q262</f>
        <v>286560.31</v>
      </c>
      <c r="Y262" s="84"/>
      <c r="Z262" s="84">
        <f t="shared" si="110"/>
        <v>0</v>
      </c>
      <c r="AA262" s="90">
        <v>286560.31</v>
      </c>
      <c r="AB262" s="90">
        <f t="shared" si="150"/>
        <v>17332.280000000028</v>
      </c>
      <c r="AC262" s="90">
        <v>303892.59000000003</v>
      </c>
      <c r="AD262" s="81"/>
      <c r="AE262" s="81"/>
      <c r="AF262" s="81"/>
    </row>
    <row r="263" spans="1:32" s="82" customFormat="1" x14ac:dyDescent="0.2">
      <c r="A263" s="92" t="s">
        <v>220</v>
      </c>
      <c r="B263" s="95">
        <v>804</v>
      </c>
      <c r="C263" s="89" t="s">
        <v>458</v>
      </c>
      <c r="D263" s="89" t="s">
        <v>324</v>
      </c>
      <c r="E263" s="89" t="s">
        <v>219</v>
      </c>
      <c r="F263" s="89" t="s">
        <v>221</v>
      </c>
      <c r="G263" s="89" t="s">
        <v>222</v>
      </c>
      <c r="H263" s="84"/>
      <c r="I263" s="84"/>
      <c r="J263" s="84"/>
      <c r="K263" s="84"/>
      <c r="L263" s="84"/>
      <c r="M263" s="84"/>
      <c r="N263" s="84"/>
      <c r="O263" s="84"/>
      <c r="P263" s="90">
        <f>70000</f>
        <v>70000</v>
      </c>
      <c r="Q263" s="84">
        <f>R263+S263+T263+U263+V263</f>
        <v>0</v>
      </c>
      <c r="R263" s="84">
        <v>0</v>
      </c>
      <c r="S263" s="84"/>
      <c r="T263" s="84"/>
      <c r="U263" s="84"/>
      <c r="V263" s="84"/>
      <c r="W263" s="84"/>
      <c r="X263" s="84">
        <f>P263+Q263</f>
        <v>70000</v>
      </c>
      <c r="Y263" s="84"/>
      <c r="Z263" s="84">
        <f t="shared" si="110"/>
        <v>0</v>
      </c>
      <c r="AA263" s="90">
        <f>70000</f>
        <v>70000</v>
      </c>
      <c r="AB263" s="90">
        <f t="shared" si="150"/>
        <v>89000</v>
      </c>
      <c r="AC263" s="90">
        <v>159000</v>
      </c>
      <c r="AD263" s="81"/>
      <c r="AE263" s="81"/>
      <c r="AF263" s="81"/>
    </row>
    <row r="264" spans="1:32" s="82" customFormat="1" ht="19.5" customHeight="1" x14ac:dyDescent="0.2">
      <c r="A264" s="91" t="s">
        <v>470</v>
      </c>
      <c r="B264" s="95">
        <v>804</v>
      </c>
      <c r="C264" s="89" t="s">
        <v>458</v>
      </c>
      <c r="D264" s="89" t="s">
        <v>324</v>
      </c>
      <c r="E264" s="89" t="s">
        <v>196</v>
      </c>
      <c r="F264" s="89" t="s">
        <v>187</v>
      </c>
      <c r="G264" s="89"/>
      <c r="H264" s="84">
        <v>0</v>
      </c>
      <c r="I264" s="84">
        <f>SUM(J264:M264)</f>
        <v>0</v>
      </c>
      <c r="J264" s="84"/>
      <c r="K264" s="84"/>
      <c r="L264" s="84"/>
      <c r="M264" s="84"/>
      <c r="N264" s="84">
        <f>H264+I264</f>
        <v>0</v>
      </c>
      <c r="O264" s="84">
        <v>0</v>
      </c>
      <c r="P264" s="90">
        <v>0</v>
      </c>
      <c r="Q264" s="84">
        <f>R264+S264+T264+U264+V264</f>
        <v>0</v>
      </c>
      <c r="R264" s="84"/>
      <c r="S264" s="84"/>
      <c r="T264" s="84"/>
      <c r="U264" s="84"/>
      <c r="V264" s="84"/>
      <c r="W264" s="84"/>
      <c r="X264" s="84">
        <f>P264+Q264</f>
        <v>0</v>
      </c>
      <c r="Y264" s="84"/>
      <c r="Z264" s="84">
        <f t="shared" si="110"/>
        <v>30000</v>
      </c>
      <c r="AA264" s="90">
        <v>30000</v>
      </c>
      <c r="AB264" s="90">
        <f t="shared" si="150"/>
        <v>0</v>
      </c>
      <c r="AC264" s="90">
        <v>30000</v>
      </c>
      <c r="AD264" s="81"/>
      <c r="AE264" s="81"/>
      <c r="AF264" s="81"/>
    </row>
    <row r="265" spans="1:32" s="82" customFormat="1" ht="21.75" customHeight="1" x14ac:dyDescent="0.2">
      <c r="A265" s="91" t="s">
        <v>471</v>
      </c>
      <c r="B265" s="95">
        <v>804</v>
      </c>
      <c r="C265" s="89" t="s">
        <v>458</v>
      </c>
      <c r="D265" s="89" t="s">
        <v>324</v>
      </c>
      <c r="E265" s="89" t="s">
        <v>196</v>
      </c>
      <c r="F265" s="89" t="s">
        <v>187</v>
      </c>
      <c r="G265" s="89" t="s">
        <v>378</v>
      </c>
      <c r="H265" s="84"/>
      <c r="I265" s="84"/>
      <c r="J265" s="84"/>
      <c r="K265" s="84"/>
      <c r="L265" s="84"/>
      <c r="M265" s="84"/>
      <c r="N265" s="84"/>
      <c r="O265" s="84"/>
      <c r="P265" s="90"/>
      <c r="Q265" s="84"/>
      <c r="R265" s="84"/>
      <c r="S265" s="84"/>
      <c r="T265" s="84"/>
      <c r="U265" s="84"/>
      <c r="V265" s="84"/>
      <c r="W265" s="84"/>
      <c r="X265" s="84"/>
      <c r="Y265" s="84"/>
      <c r="Z265" s="84">
        <f t="shared" si="110"/>
        <v>1807601.19</v>
      </c>
      <c r="AA265" s="90">
        <v>1807601.19</v>
      </c>
      <c r="AB265" s="90">
        <f t="shared" si="150"/>
        <v>0</v>
      </c>
      <c r="AC265" s="90">
        <v>1807601.19</v>
      </c>
      <c r="AD265" s="81"/>
      <c r="AE265" s="81"/>
      <c r="AF265" s="81"/>
    </row>
    <row r="266" spans="1:32" s="82" customFormat="1" x14ac:dyDescent="0.2">
      <c r="A266" s="163" t="s">
        <v>472</v>
      </c>
      <c r="B266" s="93">
        <v>804</v>
      </c>
      <c r="C266" s="78" t="s">
        <v>473</v>
      </c>
      <c r="D266" s="94" t="s">
        <v>167</v>
      </c>
      <c r="E266" s="78" t="s">
        <v>168</v>
      </c>
      <c r="F266" s="78" t="s">
        <v>168</v>
      </c>
      <c r="G266" s="78"/>
      <c r="H266" s="79" t="e">
        <f t="shared" ref="H266:X266" si="151">H267+H293</f>
        <v>#REF!</v>
      </c>
      <c r="I266" s="79" t="e">
        <f t="shared" si="151"/>
        <v>#REF!</v>
      </c>
      <c r="J266" s="79" t="e">
        <f t="shared" si="151"/>
        <v>#REF!</v>
      </c>
      <c r="K266" s="79" t="e">
        <f t="shared" si="151"/>
        <v>#REF!</v>
      </c>
      <c r="L266" s="79" t="e">
        <f t="shared" si="151"/>
        <v>#REF!</v>
      </c>
      <c r="M266" s="79" t="e">
        <f t="shared" si="151"/>
        <v>#REF!</v>
      </c>
      <c r="N266" s="79" t="e">
        <f t="shared" si="151"/>
        <v>#REF!</v>
      </c>
      <c r="O266" s="79" t="e">
        <f t="shared" si="151"/>
        <v>#REF!</v>
      </c>
      <c r="P266" s="80">
        <f t="shared" si="151"/>
        <v>19197818.960000001</v>
      </c>
      <c r="Q266" s="80" t="e">
        <f t="shared" si="151"/>
        <v>#REF!</v>
      </c>
      <c r="R266" s="80" t="e">
        <f t="shared" si="151"/>
        <v>#REF!</v>
      </c>
      <c r="S266" s="80" t="e">
        <f t="shared" si="151"/>
        <v>#REF!</v>
      </c>
      <c r="T266" s="80" t="e">
        <f t="shared" si="151"/>
        <v>#REF!</v>
      </c>
      <c r="U266" s="80" t="e">
        <f t="shared" si="151"/>
        <v>#REF!</v>
      </c>
      <c r="V266" s="80" t="e">
        <f t="shared" si="151"/>
        <v>#REF!</v>
      </c>
      <c r="W266" s="80" t="e">
        <f t="shared" si="151"/>
        <v>#REF!</v>
      </c>
      <c r="X266" s="80" t="e">
        <f t="shared" si="151"/>
        <v>#REF!</v>
      </c>
      <c r="Y266" s="84"/>
      <c r="Z266" s="84">
        <f t="shared" si="110"/>
        <v>1632814.3999999985</v>
      </c>
      <c r="AA266" s="80">
        <f>AA267+AA293</f>
        <v>20830633.359999999</v>
      </c>
      <c r="AB266" s="80">
        <f t="shared" ref="AB266:AC266" si="152">AB267+AB293</f>
        <v>881294.27</v>
      </c>
      <c r="AC266" s="80">
        <f t="shared" si="152"/>
        <v>21711927.629999999</v>
      </c>
      <c r="AD266" s="81"/>
      <c r="AE266" s="81"/>
      <c r="AF266" s="81"/>
    </row>
    <row r="267" spans="1:32" s="82" customFormat="1" x14ac:dyDescent="0.2">
      <c r="A267" s="76" t="s">
        <v>474</v>
      </c>
      <c r="B267" s="93">
        <v>804</v>
      </c>
      <c r="C267" s="78" t="s">
        <v>473</v>
      </c>
      <c r="D267" s="78" t="s">
        <v>167</v>
      </c>
      <c r="E267" s="78" t="s">
        <v>168</v>
      </c>
      <c r="F267" s="78" t="s">
        <v>168</v>
      </c>
      <c r="G267" s="78"/>
      <c r="H267" s="79" t="e">
        <f>H268+H273</f>
        <v>#REF!</v>
      </c>
      <c r="I267" s="79" t="e">
        <f>I268+I273+#REF!+#REF!+#REF!+#REF!+#REF!</f>
        <v>#REF!</v>
      </c>
      <c r="J267" s="79" t="e">
        <f>J268+J273+#REF!+#REF!+#REF!+#REF!+#REF!</f>
        <v>#REF!</v>
      </c>
      <c r="K267" s="79" t="e">
        <f>K268+K273+#REF!+#REF!+#REF!+#REF!+#REF!</f>
        <v>#REF!</v>
      </c>
      <c r="L267" s="79" t="e">
        <f>L268+L273+#REF!+#REF!+#REF!+#REF!+#REF!</f>
        <v>#REF!</v>
      </c>
      <c r="M267" s="79" t="e">
        <f>M268+M273+#REF!+#REF!+#REF!+#REF!+#REF!</f>
        <v>#REF!</v>
      </c>
      <c r="N267" s="79" t="e">
        <f>N268+N273+#REF!+#REF!+#REF!+#REF!+#REF!</f>
        <v>#REF!</v>
      </c>
      <c r="O267" s="79" t="e">
        <f t="shared" ref="O267:X267" si="153">O268+O273</f>
        <v>#REF!</v>
      </c>
      <c r="P267" s="80">
        <f t="shared" si="153"/>
        <v>12108531.800000001</v>
      </c>
      <c r="Q267" s="80" t="e">
        <f t="shared" si="153"/>
        <v>#REF!</v>
      </c>
      <c r="R267" s="80" t="e">
        <f t="shared" si="153"/>
        <v>#REF!</v>
      </c>
      <c r="S267" s="80" t="e">
        <f t="shared" si="153"/>
        <v>#REF!</v>
      </c>
      <c r="T267" s="80" t="e">
        <f t="shared" si="153"/>
        <v>#REF!</v>
      </c>
      <c r="U267" s="80" t="e">
        <f t="shared" si="153"/>
        <v>#REF!</v>
      </c>
      <c r="V267" s="80" t="e">
        <f t="shared" si="153"/>
        <v>#REF!</v>
      </c>
      <c r="W267" s="80" t="e">
        <f t="shared" si="153"/>
        <v>#REF!</v>
      </c>
      <c r="X267" s="80" t="e">
        <f t="shared" si="153"/>
        <v>#REF!</v>
      </c>
      <c r="Y267" s="84"/>
      <c r="Z267" s="84">
        <f t="shared" si="110"/>
        <v>1632814.3999999985</v>
      </c>
      <c r="AA267" s="80">
        <f>AA268+AA273</f>
        <v>13741346.199999999</v>
      </c>
      <c r="AB267" s="80">
        <f t="shared" ref="AB267:AC267" si="154">AB268+AB273</f>
        <v>8191.3000000002794</v>
      </c>
      <c r="AC267" s="80">
        <f t="shared" si="154"/>
        <v>13749537.5</v>
      </c>
      <c r="AD267" s="81"/>
      <c r="AE267" s="81"/>
      <c r="AF267" s="81"/>
    </row>
    <row r="268" spans="1:32" s="82" customFormat="1" x14ac:dyDescent="0.2">
      <c r="A268" s="76" t="s">
        <v>475</v>
      </c>
      <c r="B268" s="93">
        <v>804</v>
      </c>
      <c r="C268" s="78" t="s">
        <v>476</v>
      </c>
      <c r="D268" s="78" t="s">
        <v>167</v>
      </c>
      <c r="E268" s="78" t="s">
        <v>168</v>
      </c>
      <c r="F268" s="78" t="s">
        <v>224</v>
      </c>
      <c r="G268" s="78"/>
      <c r="H268" s="79" t="e">
        <f>H269+#REF!+#REF!+H271</f>
        <v>#REF!</v>
      </c>
      <c r="I268" s="79" t="e">
        <f>I269+#REF!+#REF!+I271</f>
        <v>#REF!</v>
      </c>
      <c r="J268" s="79" t="e">
        <f>J269+#REF!+#REF!+J271</f>
        <v>#REF!</v>
      </c>
      <c r="K268" s="79" t="e">
        <f>K269+#REF!+#REF!+K271</f>
        <v>#REF!</v>
      </c>
      <c r="L268" s="79" t="e">
        <f>L269+#REF!+#REF!+L271</f>
        <v>#REF!</v>
      </c>
      <c r="M268" s="79" t="e">
        <f>M269+#REF!+#REF!+M271</f>
        <v>#REF!</v>
      </c>
      <c r="N268" s="79" t="e">
        <f>N269+#REF!+#REF!+N271</f>
        <v>#REF!</v>
      </c>
      <c r="O268" s="79" t="e">
        <f>O269+#REF!+#REF!+O271</f>
        <v>#REF!</v>
      </c>
      <c r="P268" s="80">
        <f>P269+P271</f>
        <v>7208708.7999999998</v>
      </c>
      <c r="Q268" s="80" t="e">
        <f>Q269+#REF!+Q271+#REF!+#REF!</f>
        <v>#REF!</v>
      </c>
      <c r="R268" s="80" t="e">
        <f>R269+#REF!+R271+#REF!+#REF!</f>
        <v>#REF!</v>
      </c>
      <c r="S268" s="80" t="e">
        <f>S269+#REF!+S271+#REF!+#REF!</f>
        <v>#REF!</v>
      </c>
      <c r="T268" s="80" t="e">
        <f>T269+#REF!+T271+#REF!+#REF!</f>
        <v>#REF!</v>
      </c>
      <c r="U268" s="80" t="e">
        <f>U269+#REF!+U271+#REF!+#REF!</f>
        <v>#REF!</v>
      </c>
      <c r="V268" s="80" t="e">
        <f>V269+#REF!+V271+#REF!+#REF!</f>
        <v>#REF!</v>
      </c>
      <c r="W268" s="80" t="e">
        <f>W269+#REF!+W271+#REF!+#REF!</f>
        <v>#REF!</v>
      </c>
      <c r="X268" s="80" t="e">
        <f>X269+#REF!+X271+#REF!+#REF!</f>
        <v>#REF!</v>
      </c>
      <c r="Y268" s="84"/>
      <c r="Z268" s="84">
        <f t="shared" ref="Z268:Z334" si="155">AA268-P268</f>
        <v>0</v>
      </c>
      <c r="AA268" s="80">
        <f>AA269+AA271</f>
        <v>7208708.7999999998</v>
      </c>
      <c r="AB268" s="80">
        <f t="shared" ref="AB268:AC268" si="156">AB269+AB271</f>
        <v>-74474.599999999627</v>
      </c>
      <c r="AC268" s="80">
        <f t="shared" si="156"/>
        <v>7134234.2000000002</v>
      </c>
      <c r="AD268" s="81"/>
      <c r="AE268" s="81"/>
      <c r="AF268" s="81"/>
    </row>
    <row r="269" spans="1:32" s="82" customFormat="1" x14ac:dyDescent="0.2">
      <c r="A269" s="76" t="s">
        <v>245</v>
      </c>
      <c r="B269" s="93">
        <v>804</v>
      </c>
      <c r="C269" s="78" t="s">
        <v>476</v>
      </c>
      <c r="D269" s="78" t="s">
        <v>167</v>
      </c>
      <c r="E269" s="78" t="s">
        <v>168</v>
      </c>
      <c r="F269" s="78" t="s">
        <v>168</v>
      </c>
      <c r="G269" s="78"/>
      <c r="H269" s="79">
        <f t="shared" ref="H269:O269" si="157">SUM(H270:H270)</f>
        <v>639714.98</v>
      </c>
      <c r="I269" s="79">
        <f t="shared" si="157"/>
        <v>596600.96</v>
      </c>
      <c r="J269" s="79">
        <f t="shared" si="157"/>
        <v>0</v>
      </c>
      <c r="K269" s="79">
        <f t="shared" si="157"/>
        <v>0</v>
      </c>
      <c r="L269" s="79">
        <f t="shared" si="157"/>
        <v>0</v>
      </c>
      <c r="M269" s="79">
        <f t="shared" si="157"/>
        <v>596600.96</v>
      </c>
      <c r="N269" s="79">
        <f t="shared" si="157"/>
        <v>1236315.94</v>
      </c>
      <c r="O269" s="79">
        <f t="shared" si="157"/>
        <v>639714.98</v>
      </c>
      <c r="P269" s="80">
        <f t="shared" ref="P269:Y269" si="158">P270</f>
        <v>1690000</v>
      </c>
      <c r="Q269" s="80">
        <f t="shared" si="158"/>
        <v>0</v>
      </c>
      <c r="R269" s="80">
        <f t="shared" si="158"/>
        <v>0</v>
      </c>
      <c r="S269" s="80">
        <f t="shared" si="158"/>
        <v>0</v>
      </c>
      <c r="T269" s="80">
        <f t="shared" si="158"/>
        <v>0</v>
      </c>
      <c r="U269" s="80">
        <f t="shared" si="158"/>
        <v>0</v>
      </c>
      <c r="V269" s="80">
        <f t="shared" si="158"/>
        <v>0</v>
      </c>
      <c r="W269" s="80">
        <f t="shared" si="158"/>
        <v>0</v>
      </c>
      <c r="X269" s="80">
        <f t="shared" si="158"/>
        <v>1690000</v>
      </c>
      <c r="Y269" s="80" t="str">
        <f t="shared" si="158"/>
        <v>1 квартал</v>
      </c>
      <c r="Z269" s="80">
        <f t="shared" si="155"/>
        <v>0</v>
      </c>
      <c r="AA269" s="80">
        <f>AA270</f>
        <v>1690000</v>
      </c>
      <c r="AB269" s="80">
        <f t="shared" ref="AB269:AC269" si="159">AB270</f>
        <v>724000</v>
      </c>
      <c r="AC269" s="80">
        <f t="shared" si="159"/>
        <v>2414000</v>
      </c>
      <c r="AD269" s="81"/>
      <c r="AE269" s="81"/>
      <c r="AF269" s="81"/>
    </row>
    <row r="270" spans="1:32" s="75" customFormat="1" ht="51" x14ac:dyDescent="0.2">
      <c r="A270" s="87" t="s">
        <v>477</v>
      </c>
      <c r="B270" s="88">
        <v>804</v>
      </c>
      <c r="C270" s="89" t="s">
        <v>476</v>
      </c>
      <c r="D270" s="126" t="s">
        <v>324</v>
      </c>
      <c r="E270" s="126" t="s">
        <v>196</v>
      </c>
      <c r="F270" s="126" t="s">
        <v>246</v>
      </c>
      <c r="G270" s="126" t="s">
        <v>248</v>
      </c>
      <c r="H270" s="164">
        <f>1200000-560285.02</f>
        <v>639714.98</v>
      </c>
      <c r="I270" s="164">
        <f>SUM(J270:M270)</f>
        <v>596600.96</v>
      </c>
      <c r="J270" s="164"/>
      <c r="K270" s="164"/>
      <c r="L270" s="164"/>
      <c r="M270" s="164">
        <v>596600.96</v>
      </c>
      <c r="N270" s="164">
        <f>H270+I270</f>
        <v>1236315.94</v>
      </c>
      <c r="O270" s="164">
        <f>1200000-560285.02</f>
        <v>639714.98</v>
      </c>
      <c r="P270" s="165">
        <f>2000000+1000000-1000000-310000</f>
        <v>1690000</v>
      </c>
      <c r="Q270" s="84">
        <f>R270+S270+T270+U270+V270</f>
        <v>0</v>
      </c>
      <c r="R270" s="164">
        <v>0</v>
      </c>
      <c r="S270" s="84">
        <v>0</v>
      </c>
      <c r="T270" s="84"/>
      <c r="U270" s="84"/>
      <c r="V270" s="84"/>
      <c r="W270" s="84"/>
      <c r="X270" s="84">
        <f>P270+Q270</f>
        <v>1690000</v>
      </c>
      <c r="Y270" s="84" t="s">
        <v>227</v>
      </c>
      <c r="Z270" s="84">
        <f t="shared" si="155"/>
        <v>0</v>
      </c>
      <c r="AA270" s="165">
        <f>2000000+1000000-1000000-310000</f>
        <v>1690000</v>
      </c>
      <c r="AB270" s="90">
        <f t="shared" ref="AB270:AB272" si="160">AC270-AA270</f>
        <v>724000</v>
      </c>
      <c r="AC270" s="165">
        <f>2000000+1000000-1000000-310000+414000+155000*2</f>
        <v>2414000</v>
      </c>
      <c r="AD270" s="74"/>
      <c r="AE270" s="74"/>
      <c r="AF270" s="74"/>
    </row>
    <row r="271" spans="1:32" s="82" customFormat="1" ht="38.25" x14ac:dyDescent="0.2">
      <c r="A271" s="76" t="s">
        <v>478</v>
      </c>
      <c r="B271" s="149">
        <v>804</v>
      </c>
      <c r="C271" s="78" t="s">
        <v>476</v>
      </c>
      <c r="D271" s="78" t="s">
        <v>167</v>
      </c>
      <c r="E271" s="78" t="s">
        <v>168</v>
      </c>
      <c r="F271" s="78" t="s">
        <v>168</v>
      </c>
      <c r="G271" s="78"/>
      <c r="H271" s="79">
        <f t="shared" ref="H271:V271" si="161">SUM(H272:H272)</f>
        <v>0</v>
      </c>
      <c r="I271" s="79">
        <f t="shared" si="161"/>
        <v>0</v>
      </c>
      <c r="J271" s="79">
        <f t="shared" si="161"/>
        <v>0</v>
      </c>
      <c r="K271" s="79">
        <f t="shared" si="161"/>
        <v>0</v>
      </c>
      <c r="L271" s="79">
        <f t="shared" si="161"/>
        <v>0</v>
      </c>
      <c r="M271" s="79">
        <f t="shared" si="161"/>
        <v>0</v>
      </c>
      <c r="N271" s="79">
        <f t="shared" si="161"/>
        <v>0</v>
      </c>
      <c r="O271" s="79">
        <f t="shared" si="161"/>
        <v>0</v>
      </c>
      <c r="P271" s="80">
        <f t="shared" si="161"/>
        <v>5518708.7999999998</v>
      </c>
      <c r="Q271" s="80">
        <f t="shared" si="161"/>
        <v>0</v>
      </c>
      <c r="R271" s="80">
        <f t="shared" si="161"/>
        <v>0</v>
      </c>
      <c r="S271" s="80">
        <f t="shared" si="161"/>
        <v>0</v>
      </c>
      <c r="T271" s="80">
        <f t="shared" si="161"/>
        <v>0</v>
      </c>
      <c r="U271" s="80">
        <f t="shared" si="161"/>
        <v>0</v>
      </c>
      <c r="V271" s="80">
        <f t="shared" si="161"/>
        <v>0</v>
      </c>
      <c r="W271" s="80"/>
      <c r="X271" s="80">
        <f>SUM(X272:X272)</f>
        <v>5518708.7999999998</v>
      </c>
      <c r="Y271" s="84"/>
      <c r="Z271" s="84">
        <f t="shared" si="155"/>
        <v>0</v>
      </c>
      <c r="AA271" s="80">
        <f>SUM(AA272:AA272)</f>
        <v>5518708.7999999998</v>
      </c>
      <c r="AB271" s="80">
        <f t="shared" ref="AB271:AC271" si="162">SUM(AB272:AB272)</f>
        <v>-798474.59999999963</v>
      </c>
      <c r="AC271" s="80">
        <f t="shared" si="162"/>
        <v>4720234.2</v>
      </c>
      <c r="AD271" s="81"/>
      <c r="AE271" s="81"/>
      <c r="AF271" s="81"/>
    </row>
    <row r="272" spans="1:32" s="75" customFormat="1" ht="38.25" x14ac:dyDescent="0.2">
      <c r="A272" s="87" t="s">
        <v>479</v>
      </c>
      <c r="B272" s="88">
        <v>804</v>
      </c>
      <c r="C272" s="89" t="s">
        <v>476</v>
      </c>
      <c r="D272" s="126" t="s">
        <v>480</v>
      </c>
      <c r="E272" s="126" t="s">
        <v>481</v>
      </c>
      <c r="F272" s="126" t="s">
        <v>199</v>
      </c>
      <c r="G272" s="126" t="s">
        <v>378</v>
      </c>
      <c r="H272" s="164"/>
      <c r="I272" s="164"/>
      <c r="J272" s="164"/>
      <c r="K272" s="164"/>
      <c r="L272" s="164"/>
      <c r="M272" s="164"/>
      <c r="N272" s="164"/>
      <c r="O272" s="164"/>
      <c r="P272" s="165">
        <v>5518708.7999999998</v>
      </c>
      <c r="Q272" s="84">
        <f>R272+S272+T272+U272+V272</f>
        <v>0</v>
      </c>
      <c r="R272" s="164"/>
      <c r="S272" s="84"/>
      <c r="T272" s="84">
        <v>0</v>
      </c>
      <c r="U272" s="84"/>
      <c r="V272" s="84"/>
      <c r="W272" s="84"/>
      <c r="X272" s="84">
        <f>P272+Q272</f>
        <v>5518708.7999999998</v>
      </c>
      <c r="Y272" s="84"/>
      <c r="Z272" s="84">
        <f t="shared" si="155"/>
        <v>0</v>
      </c>
      <c r="AA272" s="165">
        <v>5518708.7999999998</v>
      </c>
      <c r="AB272" s="90">
        <f t="shared" si="160"/>
        <v>-798474.59999999963</v>
      </c>
      <c r="AC272" s="165">
        <f>5518708.8-798474.6</f>
        <v>4720234.2</v>
      </c>
      <c r="AD272" s="74"/>
      <c r="AE272" s="74"/>
      <c r="AF272" s="74"/>
    </row>
    <row r="273" spans="1:32" s="82" customFormat="1" x14ac:dyDescent="0.2">
      <c r="A273" s="76" t="s">
        <v>482</v>
      </c>
      <c r="B273" s="128" t="s">
        <v>289</v>
      </c>
      <c r="C273" s="78" t="s">
        <v>483</v>
      </c>
      <c r="D273" s="78" t="s">
        <v>167</v>
      </c>
      <c r="E273" s="78" t="s">
        <v>168</v>
      </c>
      <c r="F273" s="78" t="s">
        <v>168</v>
      </c>
      <c r="G273" s="78"/>
      <c r="H273" s="79">
        <f t="shared" ref="H273:O273" si="163">SUM(H288:H288)</f>
        <v>0</v>
      </c>
      <c r="I273" s="79">
        <f t="shared" si="163"/>
        <v>0</v>
      </c>
      <c r="J273" s="79">
        <f t="shared" si="163"/>
        <v>0</v>
      </c>
      <c r="K273" s="79">
        <f t="shared" si="163"/>
        <v>0</v>
      </c>
      <c r="L273" s="79">
        <f t="shared" si="163"/>
        <v>0</v>
      </c>
      <c r="M273" s="79">
        <f t="shared" si="163"/>
        <v>0</v>
      </c>
      <c r="N273" s="79">
        <f t="shared" si="163"/>
        <v>0</v>
      </c>
      <c r="O273" s="79">
        <f t="shared" si="163"/>
        <v>0</v>
      </c>
      <c r="P273" s="80">
        <f>P274+P284</f>
        <v>4899823.0000000009</v>
      </c>
      <c r="Q273" s="80">
        <f t="shared" ref="Q273:Y273" si="164">SUM(Q288:Q288)</f>
        <v>0</v>
      </c>
      <c r="R273" s="80">
        <f t="shared" si="164"/>
        <v>0</v>
      </c>
      <c r="S273" s="80">
        <f t="shared" si="164"/>
        <v>0</v>
      </c>
      <c r="T273" s="80">
        <f t="shared" si="164"/>
        <v>0</v>
      </c>
      <c r="U273" s="80">
        <f t="shared" si="164"/>
        <v>0</v>
      </c>
      <c r="V273" s="80">
        <f t="shared" si="164"/>
        <v>0</v>
      </c>
      <c r="W273" s="80">
        <f t="shared" si="164"/>
        <v>0</v>
      </c>
      <c r="X273" s="80">
        <f t="shared" si="164"/>
        <v>0</v>
      </c>
      <c r="Y273" s="80">
        <f t="shared" si="164"/>
        <v>0</v>
      </c>
      <c r="Z273" s="80">
        <f t="shared" si="155"/>
        <v>1632814.3999999994</v>
      </c>
      <c r="AA273" s="80">
        <f>AA274+AA284</f>
        <v>6532637.4000000004</v>
      </c>
      <c r="AB273" s="80">
        <f t="shared" ref="AB273" si="165">AB274+AB284</f>
        <v>82665.899999999907</v>
      </c>
      <c r="AC273" s="80">
        <f>AC274+AC284</f>
        <v>6615303.2999999998</v>
      </c>
      <c r="AD273" s="81"/>
      <c r="AE273" s="81"/>
      <c r="AF273" s="81"/>
    </row>
    <row r="274" spans="1:32" s="82" customFormat="1" ht="25.5" x14ac:dyDescent="0.2">
      <c r="A274" s="76" t="s">
        <v>484</v>
      </c>
      <c r="B274" s="128" t="s">
        <v>289</v>
      </c>
      <c r="C274" s="78" t="s">
        <v>483</v>
      </c>
      <c r="D274" s="78" t="s">
        <v>167</v>
      </c>
      <c r="E274" s="78" t="s">
        <v>168</v>
      </c>
      <c r="F274" s="78" t="s">
        <v>168</v>
      </c>
      <c r="G274" s="78"/>
      <c r="H274" s="79"/>
      <c r="I274" s="79"/>
      <c r="J274" s="79"/>
      <c r="K274" s="79"/>
      <c r="L274" s="79"/>
      <c r="M274" s="79"/>
      <c r="N274" s="79"/>
      <c r="O274" s="79"/>
      <c r="P274" s="80">
        <f>P275+P276+P279+P280+P281+P282+P283</f>
        <v>4612833.1400000006</v>
      </c>
      <c r="Q274" s="80"/>
      <c r="R274" s="80"/>
      <c r="S274" s="80"/>
      <c r="T274" s="80"/>
      <c r="U274" s="80"/>
      <c r="V274" s="80"/>
      <c r="W274" s="80"/>
      <c r="X274" s="80"/>
      <c r="Y274" s="80"/>
      <c r="Z274" s="80">
        <f t="shared" si="155"/>
        <v>-639076.5400000005</v>
      </c>
      <c r="AA274" s="80">
        <f>AA275+AA276+AA279+AA280+AA281+AA282+AA283</f>
        <v>3973756.6</v>
      </c>
      <c r="AB274" s="80">
        <f t="shared" ref="AB274" si="166">AB275+AB276+AB279+AB280+AB281+AB282+AB283</f>
        <v>115147.39999999991</v>
      </c>
      <c r="AC274" s="80">
        <f>AC275+AC276+AC279+AC280+AC281+AC282+AC283</f>
        <v>4088904</v>
      </c>
      <c r="AD274" s="81"/>
      <c r="AE274" s="81"/>
      <c r="AF274" s="81"/>
    </row>
    <row r="275" spans="1:32" s="82" customFormat="1" ht="25.5" x14ac:dyDescent="0.2">
      <c r="A275" s="87" t="s">
        <v>485</v>
      </c>
      <c r="B275" s="126" t="s">
        <v>289</v>
      </c>
      <c r="C275" s="89" t="s">
        <v>483</v>
      </c>
      <c r="D275" s="89" t="s">
        <v>486</v>
      </c>
      <c r="E275" s="89" t="s">
        <v>236</v>
      </c>
      <c r="F275" s="89" t="s">
        <v>234</v>
      </c>
      <c r="G275" s="89" t="s">
        <v>327</v>
      </c>
      <c r="H275" s="84">
        <v>1508201.88</v>
      </c>
      <c r="I275" s="84">
        <f>SUM(J275:M275)</f>
        <v>100000</v>
      </c>
      <c r="J275" s="84">
        <v>0</v>
      </c>
      <c r="K275" s="84"/>
      <c r="L275" s="84"/>
      <c r="M275" s="84">
        <v>100000</v>
      </c>
      <c r="N275" s="84">
        <f>H275+I275</f>
        <v>1608201.88</v>
      </c>
      <c r="O275" s="84">
        <f>1508201.88*80%</f>
        <v>1206561.504</v>
      </c>
      <c r="P275" s="90">
        <f>1500000-200000</f>
        <v>1300000</v>
      </c>
      <c r="Q275" s="84">
        <f>R275+S275+T275+U275+V275</f>
        <v>0</v>
      </c>
      <c r="R275" s="84">
        <v>0</v>
      </c>
      <c r="S275" s="84"/>
      <c r="T275" s="84"/>
      <c r="U275" s="84">
        <v>0</v>
      </c>
      <c r="V275" s="84"/>
      <c r="W275" s="84"/>
      <c r="X275" s="84">
        <f>P275+Q275</f>
        <v>1300000</v>
      </c>
      <c r="Y275" s="84"/>
      <c r="Z275" s="84">
        <f t="shared" si="155"/>
        <v>0</v>
      </c>
      <c r="AA275" s="90">
        <f>1500000-200000</f>
        <v>1300000</v>
      </c>
      <c r="AB275" s="90">
        <f t="shared" ref="AB275:AB292" si="167">AC275-AA275</f>
        <v>115147.39999999991</v>
      </c>
      <c r="AC275" s="90">
        <v>1415147.4</v>
      </c>
      <c r="AD275" s="81"/>
      <c r="AE275" s="81"/>
      <c r="AF275" s="81"/>
    </row>
    <row r="276" spans="1:32" s="82" customFormat="1" ht="25.5" x14ac:dyDescent="0.2">
      <c r="A276" s="87" t="s">
        <v>487</v>
      </c>
      <c r="B276" s="126" t="s">
        <v>289</v>
      </c>
      <c r="C276" s="89" t="s">
        <v>483</v>
      </c>
      <c r="D276" s="89" t="s">
        <v>486</v>
      </c>
      <c r="E276" s="89" t="s">
        <v>196</v>
      </c>
      <c r="F276" s="89" t="s">
        <v>246</v>
      </c>
      <c r="G276" s="89" t="s">
        <v>378</v>
      </c>
      <c r="H276" s="84"/>
      <c r="I276" s="84"/>
      <c r="J276" s="84"/>
      <c r="K276" s="84"/>
      <c r="L276" s="84"/>
      <c r="M276" s="84"/>
      <c r="N276" s="84"/>
      <c r="O276" s="84"/>
      <c r="P276" s="90">
        <v>2220833.14</v>
      </c>
      <c r="Q276" s="84">
        <f>R276+S276+T276+U276+V276</f>
        <v>0</v>
      </c>
      <c r="R276" s="84">
        <v>0</v>
      </c>
      <c r="S276" s="84"/>
      <c r="T276" s="84"/>
      <c r="U276" s="84">
        <v>0</v>
      </c>
      <c r="V276" s="84"/>
      <c r="W276" s="84"/>
      <c r="X276" s="84">
        <f>P276+Q276</f>
        <v>2220833.14</v>
      </c>
      <c r="Y276" s="84" t="s">
        <v>227</v>
      </c>
      <c r="Z276" s="84">
        <f t="shared" si="155"/>
        <v>-729076.54</v>
      </c>
      <c r="AA276" s="90">
        <f>2220833.14-729076.54</f>
        <v>1491756.6</v>
      </c>
      <c r="AB276" s="90">
        <f t="shared" si="167"/>
        <v>0</v>
      </c>
      <c r="AC276" s="90">
        <f>2220833.14-729076.54</f>
        <v>1491756.6</v>
      </c>
      <c r="AD276" s="81"/>
      <c r="AE276" s="81"/>
      <c r="AF276" s="81"/>
    </row>
    <row r="277" spans="1:32" s="82" customFormat="1" ht="25.5" x14ac:dyDescent="0.2">
      <c r="A277" s="87" t="s">
        <v>488</v>
      </c>
      <c r="B277" s="126" t="s">
        <v>289</v>
      </c>
      <c r="C277" s="89" t="s">
        <v>483</v>
      </c>
      <c r="D277" s="89" t="s">
        <v>489</v>
      </c>
      <c r="E277" s="89" t="s">
        <v>196</v>
      </c>
      <c r="F277" s="89" t="s">
        <v>246</v>
      </c>
      <c r="G277" s="89" t="s">
        <v>378</v>
      </c>
      <c r="H277" s="84"/>
      <c r="I277" s="84"/>
      <c r="J277" s="84"/>
      <c r="K277" s="84"/>
      <c r="L277" s="84"/>
      <c r="M277" s="84"/>
      <c r="N277" s="84"/>
      <c r="O277" s="84"/>
      <c r="P277" s="90"/>
      <c r="Q277" s="84"/>
      <c r="R277" s="84"/>
      <c r="S277" s="84"/>
      <c r="T277" s="84"/>
      <c r="U277" s="84"/>
      <c r="V277" s="84"/>
      <c r="W277" s="84"/>
      <c r="X277" s="84"/>
      <c r="Y277" s="84"/>
      <c r="Z277" s="84">
        <f t="shared" si="155"/>
        <v>1799837</v>
      </c>
      <c r="AA277" s="90">
        <v>1799837</v>
      </c>
      <c r="AB277" s="90">
        <f t="shared" si="167"/>
        <v>0</v>
      </c>
      <c r="AC277" s="90">
        <v>1799837</v>
      </c>
      <c r="AD277" s="81"/>
      <c r="AE277" s="81"/>
      <c r="AF277" s="81"/>
    </row>
    <row r="278" spans="1:32" s="82" customFormat="1" ht="38.25" x14ac:dyDescent="0.2">
      <c r="A278" s="87" t="s">
        <v>490</v>
      </c>
      <c r="B278" s="126" t="s">
        <v>289</v>
      </c>
      <c r="C278" s="89" t="s">
        <v>483</v>
      </c>
      <c r="D278" s="89" t="s">
        <v>489</v>
      </c>
      <c r="E278" s="89" t="s">
        <v>196</v>
      </c>
      <c r="F278" s="89" t="s">
        <v>246</v>
      </c>
      <c r="G278" s="89" t="s">
        <v>378</v>
      </c>
      <c r="H278" s="84"/>
      <c r="I278" s="84"/>
      <c r="J278" s="84"/>
      <c r="K278" s="84"/>
      <c r="L278" s="84"/>
      <c r="M278" s="84"/>
      <c r="N278" s="84"/>
      <c r="O278" s="84"/>
      <c r="P278" s="90"/>
      <c r="Q278" s="84"/>
      <c r="R278" s="84"/>
      <c r="S278" s="84"/>
      <c r="T278" s="84"/>
      <c r="U278" s="84"/>
      <c r="V278" s="84"/>
      <c r="W278" s="84"/>
      <c r="X278" s="84"/>
      <c r="Y278" s="84"/>
      <c r="Z278" s="84">
        <f t="shared" si="155"/>
        <v>436053.94</v>
      </c>
      <c r="AA278" s="90">
        <v>436053.94</v>
      </c>
      <c r="AB278" s="90">
        <f t="shared" si="167"/>
        <v>0</v>
      </c>
      <c r="AC278" s="90">
        <v>436053.94</v>
      </c>
      <c r="AD278" s="81"/>
      <c r="AE278" s="81"/>
      <c r="AF278" s="81"/>
    </row>
    <row r="279" spans="1:32" s="82" customFormat="1" ht="38.25" x14ac:dyDescent="0.2">
      <c r="A279" s="87" t="s">
        <v>491</v>
      </c>
      <c r="B279" s="126" t="s">
        <v>289</v>
      </c>
      <c r="C279" s="89" t="s">
        <v>483</v>
      </c>
      <c r="D279" s="89" t="s">
        <v>486</v>
      </c>
      <c r="E279" s="89" t="s">
        <v>196</v>
      </c>
      <c r="F279" s="89" t="s">
        <v>187</v>
      </c>
      <c r="G279" s="89"/>
      <c r="H279" s="84">
        <f>374800+465200</f>
        <v>840000</v>
      </c>
      <c r="I279" s="84">
        <f>SUM(J279:M279)</f>
        <v>0</v>
      </c>
      <c r="J279" s="84"/>
      <c r="K279" s="84"/>
      <c r="L279" s="84">
        <v>0</v>
      </c>
      <c r="M279" s="84"/>
      <c r="N279" s="84">
        <f>H279+I279</f>
        <v>840000</v>
      </c>
      <c r="O279" s="84">
        <f>400000*80%</f>
        <v>320000</v>
      </c>
      <c r="P279" s="90">
        <f>100000+100000</f>
        <v>200000</v>
      </c>
      <c r="Q279" s="84">
        <f t="shared" ref="Q279:Q288" si="168">R279+S279+T279+U279+V279</f>
        <v>0</v>
      </c>
      <c r="R279" s="84">
        <v>0</v>
      </c>
      <c r="S279" s="84"/>
      <c r="T279" s="84"/>
      <c r="U279" s="84"/>
      <c r="V279" s="84"/>
      <c r="W279" s="84"/>
      <c r="X279" s="84">
        <f t="shared" ref="X279:X288" si="169">P279+Q279</f>
        <v>200000</v>
      </c>
      <c r="Y279" s="84"/>
      <c r="Z279" s="84">
        <f t="shared" si="155"/>
        <v>0</v>
      </c>
      <c r="AA279" s="90">
        <f>100000+100000</f>
        <v>200000</v>
      </c>
      <c r="AB279" s="90">
        <f t="shared" si="167"/>
        <v>0</v>
      </c>
      <c r="AC279" s="90">
        <f>100000+100000</f>
        <v>200000</v>
      </c>
      <c r="AD279" s="81"/>
      <c r="AE279" s="81"/>
      <c r="AF279" s="81"/>
    </row>
    <row r="280" spans="1:32" s="82" customFormat="1" ht="38.25" x14ac:dyDescent="0.2">
      <c r="A280" s="87" t="s">
        <v>492</v>
      </c>
      <c r="B280" s="126" t="s">
        <v>289</v>
      </c>
      <c r="C280" s="89" t="s">
        <v>483</v>
      </c>
      <c r="D280" s="89" t="s">
        <v>486</v>
      </c>
      <c r="E280" s="89" t="s">
        <v>196</v>
      </c>
      <c r="F280" s="89" t="s">
        <v>187</v>
      </c>
      <c r="G280" s="89"/>
      <c r="H280" s="84">
        <f>374800+465200</f>
        <v>840000</v>
      </c>
      <c r="I280" s="84">
        <f>SUM(J280:M280)</f>
        <v>0</v>
      </c>
      <c r="J280" s="84"/>
      <c r="K280" s="84"/>
      <c r="L280" s="84">
        <v>0</v>
      </c>
      <c r="M280" s="84"/>
      <c r="N280" s="84">
        <f>H280+I280</f>
        <v>840000</v>
      </c>
      <c r="O280" s="84">
        <f>400000*80%</f>
        <v>320000</v>
      </c>
      <c r="P280" s="90">
        <f>100000+100000</f>
        <v>200000</v>
      </c>
      <c r="Q280" s="84">
        <f t="shared" si="168"/>
        <v>0</v>
      </c>
      <c r="R280" s="84">
        <v>0</v>
      </c>
      <c r="S280" s="84"/>
      <c r="T280" s="84"/>
      <c r="U280" s="84"/>
      <c r="V280" s="84"/>
      <c r="W280" s="84"/>
      <c r="X280" s="84">
        <f t="shared" si="169"/>
        <v>200000</v>
      </c>
      <c r="Y280" s="84"/>
      <c r="Z280" s="84">
        <f t="shared" si="155"/>
        <v>0</v>
      </c>
      <c r="AA280" s="90">
        <f>100000+100000</f>
        <v>200000</v>
      </c>
      <c r="AB280" s="90">
        <f t="shared" si="167"/>
        <v>0</v>
      </c>
      <c r="AC280" s="90">
        <f>100000+100000</f>
        <v>200000</v>
      </c>
      <c r="AD280" s="81"/>
      <c r="AE280" s="81"/>
      <c r="AF280" s="81"/>
    </row>
    <row r="281" spans="1:32" s="82" customFormat="1" ht="38.25" x14ac:dyDescent="0.2">
      <c r="A281" s="87" t="s">
        <v>493</v>
      </c>
      <c r="B281" s="126" t="s">
        <v>289</v>
      </c>
      <c r="C281" s="89" t="s">
        <v>483</v>
      </c>
      <c r="D281" s="89" t="s">
        <v>486</v>
      </c>
      <c r="E281" s="89" t="s">
        <v>196</v>
      </c>
      <c r="F281" s="89" t="s">
        <v>187</v>
      </c>
      <c r="G281" s="89"/>
      <c r="H281" s="84">
        <f>374800+465200</f>
        <v>840000</v>
      </c>
      <c r="I281" s="84">
        <f>SUM(J281:M281)</f>
        <v>0</v>
      </c>
      <c r="J281" s="84"/>
      <c r="K281" s="84"/>
      <c r="L281" s="84">
        <v>0</v>
      </c>
      <c r="M281" s="84"/>
      <c r="N281" s="84">
        <f>H281+I281</f>
        <v>840000</v>
      </c>
      <c r="O281" s="84">
        <f>400000*80%</f>
        <v>320000</v>
      </c>
      <c r="P281" s="90">
        <v>40000</v>
      </c>
      <c r="Q281" s="84">
        <f t="shared" si="168"/>
        <v>0</v>
      </c>
      <c r="R281" s="84">
        <v>0</v>
      </c>
      <c r="S281" s="84"/>
      <c r="T281" s="84"/>
      <c r="U281" s="84"/>
      <c r="V281" s="84"/>
      <c r="W281" s="84"/>
      <c r="X281" s="84">
        <f t="shared" si="169"/>
        <v>40000</v>
      </c>
      <c r="Y281" s="84"/>
      <c r="Z281" s="84">
        <f t="shared" si="155"/>
        <v>0</v>
      </c>
      <c r="AA281" s="90">
        <v>40000</v>
      </c>
      <c r="AB281" s="90">
        <f t="shared" si="167"/>
        <v>0</v>
      </c>
      <c r="AC281" s="90">
        <v>40000</v>
      </c>
      <c r="AD281" s="81"/>
      <c r="AE281" s="81"/>
      <c r="AF281" s="81"/>
    </row>
    <row r="282" spans="1:32" s="82" customFormat="1" ht="25.5" x14ac:dyDescent="0.2">
      <c r="A282" s="87" t="s">
        <v>494</v>
      </c>
      <c r="B282" s="126" t="s">
        <v>289</v>
      </c>
      <c r="C282" s="89" t="s">
        <v>483</v>
      </c>
      <c r="D282" s="89" t="s">
        <v>486</v>
      </c>
      <c r="E282" s="89" t="s">
        <v>196</v>
      </c>
      <c r="F282" s="89" t="s">
        <v>187</v>
      </c>
      <c r="G282" s="89"/>
      <c r="H282" s="84">
        <f>374800+465200</f>
        <v>840000</v>
      </c>
      <c r="I282" s="84">
        <f>SUM(J282:M282)</f>
        <v>0</v>
      </c>
      <c r="J282" s="84"/>
      <c r="K282" s="84"/>
      <c r="L282" s="84">
        <v>0</v>
      </c>
      <c r="M282" s="84"/>
      <c r="N282" s="84">
        <f>H282+I282</f>
        <v>840000</v>
      </c>
      <c r="O282" s="84">
        <f>400000*80%</f>
        <v>320000</v>
      </c>
      <c r="P282" s="90">
        <v>100000</v>
      </c>
      <c r="Q282" s="84">
        <f t="shared" si="168"/>
        <v>0</v>
      </c>
      <c r="R282" s="84">
        <v>0</v>
      </c>
      <c r="S282" s="84"/>
      <c r="T282" s="84"/>
      <c r="U282" s="84"/>
      <c r="V282" s="84"/>
      <c r="W282" s="84"/>
      <c r="X282" s="84">
        <f t="shared" si="169"/>
        <v>100000</v>
      </c>
      <c r="Y282" s="84"/>
      <c r="Z282" s="84">
        <f t="shared" si="155"/>
        <v>0</v>
      </c>
      <c r="AA282" s="90">
        <v>100000</v>
      </c>
      <c r="AB282" s="90">
        <f t="shared" si="167"/>
        <v>0</v>
      </c>
      <c r="AC282" s="90">
        <v>100000</v>
      </c>
      <c r="AD282" s="81"/>
      <c r="AE282" s="81"/>
      <c r="AF282" s="81"/>
    </row>
    <row r="283" spans="1:32" s="82" customFormat="1" x14ac:dyDescent="0.2">
      <c r="A283" s="87" t="s">
        <v>495</v>
      </c>
      <c r="B283" s="126" t="s">
        <v>289</v>
      </c>
      <c r="C283" s="89" t="s">
        <v>483</v>
      </c>
      <c r="D283" s="89" t="s">
        <v>496</v>
      </c>
      <c r="E283" s="89" t="s">
        <v>196</v>
      </c>
      <c r="F283" s="89" t="s">
        <v>246</v>
      </c>
      <c r="G283" s="89" t="s">
        <v>252</v>
      </c>
      <c r="H283" s="84"/>
      <c r="I283" s="84"/>
      <c r="J283" s="84"/>
      <c r="K283" s="84"/>
      <c r="L283" s="84"/>
      <c r="M283" s="84"/>
      <c r="N283" s="84"/>
      <c r="O283" s="84"/>
      <c r="P283" s="90">
        <f>540000+12000</f>
        <v>552000</v>
      </c>
      <c r="Q283" s="84">
        <f t="shared" si="168"/>
        <v>0</v>
      </c>
      <c r="R283" s="84">
        <v>0</v>
      </c>
      <c r="S283" s="84"/>
      <c r="T283" s="84"/>
      <c r="U283" s="84">
        <v>0</v>
      </c>
      <c r="V283" s="84"/>
      <c r="W283" s="84"/>
      <c r="X283" s="84">
        <f t="shared" si="169"/>
        <v>552000</v>
      </c>
      <c r="Y283" s="84" t="s">
        <v>497</v>
      </c>
      <c r="Z283" s="84">
        <f t="shared" si="155"/>
        <v>90000</v>
      </c>
      <c r="AA283" s="90">
        <v>642000</v>
      </c>
      <c r="AB283" s="90">
        <f t="shared" si="167"/>
        <v>0</v>
      </c>
      <c r="AC283" s="90">
        <v>642000</v>
      </c>
      <c r="AD283" s="81"/>
      <c r="AE283" s="81"/>
      <c r="AF283" s="81"/>
    </row>
    <row r="284" spans="1:32" s="99" customFormat="1" x14ac:dyDescent="0.2">
      <c r="A284" s="76" t="s">
        <v>371</v>
      </c>
      <c r="B284" s="128" t="s">
        <v>289</v>
      </c>
      <c r="C284" s="78" t="s">
        <v>483</v>
      </c>
      <c r="D284" s="78" t="s">
        <v>498</v>
      </c>
      <c r="E284" s="78" t="s">
        <v>196</v>
      </c>
      <c r="F284" s="78" t="s">
        <v>168</v>
      </c>
      <c r="G284" s="78"/>
      <c r="H284" s="79"/>
      <c r="I284" s="79"/>
      <c r="J284" s="79"/>
      <c r="K284" s="79"/>
      <c r="L284" s="79"/>
      <c r="M284" s="79"/>
      <c r="N284" s="79"/>
      <c r="O284" s="79"/>
      <c r="P284" s="80">
        <f>P285+P290</f>
        <v>286989.86</v>
      </c>
      <c r="Q284" s="79"/>
      <c r="R284" s="79"/>
      <c r="S284" s="79"/>
      <c r="T284" s="79"/>
      <c r="U284" s="79"/>
      <c r="V284" s="79"/>
      <c r="W284" s="79"/>
      <c r="X284" s="79"/>
      <c r="Y284" s="79"/>
      <c r="Z284" s="80">
        <f t="shared" si="155"/>
        <v>2271890.94</v>
      </c>
      <c r="AA284" s="80">
        <f>AA285+AA289+AA290+AA291+AA292</f>
        <v>2558880.7999999998</v>
      </c>
      <c r="AB284" s="80">
        <f t="shared" ref="AB284" si="170">AB285+AB289+AB290+AB291+AB292</f>
        <v>-32481.5</v>
      </c>
      <c r="AC284" s="80">
        <f>AC285+AC289+AC290+AC291+AC292</f>
        <v>2526399.2999999998</v>
      </c>
      <c r="AD284" s="98"/>
      <c r="AE284" s="98"/>
      <c r="AF284" s="98"/>
    </row>
    <row r="285" spans="1:32" s="82" customFormat="1" x14ac:dyDescent="0.2">
      <c r="A285" s="87" t="s">
        <v>499</v>
      </c>
      <c r="B285" s="126" t="s">
        <v>289</v>
      </c>
      <c r="C285" s="89" t="s">
        <v>483</v>
      </c>
      <c r="D285" s="89" t="s">
        <v>498</v>
      </c>
      <c r="E285" s="89" t="s">
        <v>196</v>
      </c>
      <c r="F285" s="89" t="s">
        <v>336</v>
      </c>
      <c r="G285" s="89"/>
      <c r="H285" s="84"/>
      <c r="I285" s="84"/>
      <c r="J285" s="84"/>
      <c r="K285" s="84"/>
      <c r="L285" s="84"/>
      <c r="M285" s="84"/>
      <c r="N285" s="84"/>
      <c r="O285" s="84"/>
      <c r="P285" s="90">
        <v>21197.360000000001</v>
      </c>
      <c r="Q285" s="84">
        <f t="shared" si="168"/>
        <v>0</v>
      </c>
      <c r="R285" s="84">
        <v>0</v>
      </c>
      <c r="S285" s="84"/>
      <c r="T285" s="84"/>
      <c r="U285" s="84">
        <v>0</v>
      </c>
      <c r="V285" s="84"/>
      <c r="W285" s="84"/>
      <c r="X285" s="84">
        <f t="shared" si="169"/>
        <v>21197.360000000001</v>
      </c>
      <c r="Y285" s="84"/>
      <c r="Z285" s="84">
        <f t="shared" si="155"/>
        <v>0</v>
      </c>
      <c r="AA285" s="90">
        <v>21197.360000000001</v>
      </c>
      <c r="AB285" s="90">
        <f t="shared" si="167"/>
        <v>0</v>
      </c>
      <c r="AC285" s="90">
        <v>21197.360000000001</v>
      </c>
      <c r="AD285" s="81"/>
      <c r="AE285" s="81"/>
      <c r="AF285" s="81"/>
    </row>
    <row r="286" spans="1:32" s="82" customFormat="1" ht="25.5" hidden="1" x14ac:dyDescent="0.2">
      <c r="A286" s="87" t="s">
        <v>500</v>
      </c>
      <c r="B286" s="126" t="s">
        <v>289</v>
      </c>
      <c r="C286" s="89" t="s">
        <v>483</v>
      </c>
      <c r="D286" s="89" t="s">
        <v>498</v>
      </c>
      <c r="E286" s="89" t="s">
        <v>196</v>
      </c>
      <c r="F286" s="89" t="s">
        <v>246</v>
      </c>
      <c r="G286" s="89" t="s">
        <v>248</v>
      </c>
      <c r="H286" s="84"/>
      <c r="I286" s="84"/>
      <c r="J286" s="84"/>
      <c r="K286" s="84"/>
      <c r="L286" s="84"/>
      <c r="M286" s="84"/>
      <c r="N286" s="84"/>
      <c r="O286" s="84"/>
      <c r="P286" s="90">
        <v>0</v>
      </c>
      <c r="Q286" s="84">
        <f t="shared" si="168"/>
        <v>0</v>
      </c>
      <c r="R286" s="84"/>
      <c r="S286" s="84"/>
      <c r="T286" s="84">
        <v>0</v>
      </c>
      <c r="U286" s="84"/>
      <c r="V286" s="84"/>
      <c r="W286" s="84"/>
      <c r="X286" s="84">
        <f t="shared" si="169"/>
        <v>0</v>
      </c>
      <c r="Y286" s="84"/>
      <c r="Z286" s="84">
        <f t="shared" si="155"/>
        <v>0</v>
      </c>
      <c r="AA286" s="90">
        <v>0</v>
      </c>
      <c r="AB286" s="90">
        <f t="shared" si="167"/>
        <v>0</v>
      </c>
      <c r="AC286" s="90">
        <v>0</v>
      </c>
      <c r="AD286" s="81"/>
      <c r="AE286" s="81"/>
      <c r="AF286" s="81"/>
    </row>
    <row r="287" spans="1:32" s="82" customFormat="1" ht="38.25" hidden="1" x14ac:dyDescent="0.2">
      <c r="A287" s="87" t="s">
        <v>501</v>
      </c>
      <c r="B287" s="126" t="s">
        <v>289</v>
      </c>
      <c r="C287" s="89" t="s">
        <v>483</v>
      </c>
      <c r="D287" s="89" t="s">
        <v>498</v>
      </c>
      <c r="E287" s="89" t="s">
        <v>196</v>
      </c>
      <c r="F287" s="89" t="s">
        <v>199</v>
      </c>
      <c r="G287" s="89"/>
      <c r="H287" s="84"/>
      <c r="I287" s="84"/>
      <c r="J287" s="84"/>
      <c r="K287" s="84"/>
      <c r="L287" s="84"/>
      <c r="M287" s="84"/>
      <c r="N287" s="84"/>
      <c r="O287" s="84"/>
      <c r="P287" s="90">
        <f>210000-210000</f>
        <v>0</v>
      </c>
      <c r="Q287" s="84">
        <f t="shared" si="168"/>
        <v>0</v>
      </c>
      <c r="R287" s="84"/>
      <c r="S287" s="84"/>
      <c r="T287" s="84"/>
      <c r="U287" s="84"/>
      <c r="V287" s="84"/>
      <c r="W287" s="84"/>
      <c r="X287" s="84">
        <f t="shared" si="169"/>
        <v>0</v>
      </c>
      <c r="Y287" s="84"/>
      <c r="Z287" s="84">
        <f t="shared" si="155"/>
        <v>0</v>
      </c>
      <c r="AA287" s="90">
        <f>210000-210000</f>
        <v>0</v>
      </c>
      <c r="AB287" s="90">
        <f t="shared" si="167"/>
        <v>0</v>
      </c>
      <c r="AC287" s="90">
        <f>210000-210000</f>
        <v>0</v>
      </c>
      <c r="AD287" s="81"/>
      <c r="AE287" s="81"/>
      <c r="AF287" s="81"/>
    </row>
    <row r="288" spans="1:32" s="82" customFormat="1" ht="25.5" hidden="1" x14ac:dyDescent="0.2">
      <c r="A288" s="87" t="s">
        <v>502</v>
      </c>
      <c r="B288" s="126" t="s">
        <v>289</v>
      </c>
      <c r="C288" s="89" t="s">
        <v>483</v>
      </c>
      <c r="D288" s="89" t="s">
        <v>498</v>
      </c>
      <c r="E288" s="89" t="s">
        <v>196</v>
      </c>
      <c r="F288" s="89" t="s">
        <v>187</v>
      </c>
      <c r="G288" s="89"/>
      <c r="H288" s="84">
        <v>0</v>
      </c>
      <c r="I288" s="84">
        <f>SUM(J288:M288)</f>
        <v>0</v>
      </c>
      <c r="J288" s="84"/>
      <c r="K288" s="84"/>
      <c r="L288" s="84">
        <v>0</v>
      </c>
      <c r="M288" s="84"/>
      <c r="N288" s="84">
        <f>H288+I288</f>
        <v>0</v>
      </c>
      <c r="O288" s="84">
        <v>0</v>
      </c>
      <c r="P288" s="90">
        <v>0</v>
      </c>
      <c r="Q288" s="84">
        <f t="shared" si="168"/>
        <v>0</v>
      </c>
      <c r="R288" s="84"/>
      <c r="S288" s="84"/>
      <c r="T288" s="84">
        <v>0</v>
      </c>
      <c r="U288" s="84"/>
      <c r="V288" s="84"/>
      <c r="W288" s="84"/>
      <c r="X288" s="84">
        <f t="shared" si="169"/>
        <v>0</v>
      </c>
      <c r="Y288" s="84"/>
      <c r="Z288" s="84">
        <f t="shared" si="155"/>
        <v>0</v>
      </c>
      <c r="AA288" s="90">
        <v>0</v>
      </c>
      <c r="AB288" s="90">
        <f t="shared" si="167"/>
        <v>0</v>
      </c>
      <c r="AC288" s="90">
        <v>0</v>
      </c>
      <c r="AD288" s="81"/>
      <c r="AE288" s="81"/>
      <c r="AF288" s="81"/>
    </row>
    <row r="289" spans="1:32" s="82" customFormat="1" x14ac:dyDescent="0.2">
      <c r="A289" s="87" t="s">
        <v>503</v>
      </c>
      <c r="B289" s="126" t="s">
        <v>289</v>
      </c>
      <c r="C289" s="89" t="s">
        <v>483</v>
      </c>
      <c r="D289" s="89" t="s">
        <v>489</v>
      </c>
      <c r="E289" s="89" t="s">
        <v>196</v>
      </c>
      <c r="F289" s="89" t="s">
        <v>187</v>
      </c>
      <c r="G289" s="89"/>
      <c r="H289" s="84"/>
      <c r="I289" s="84"/>
      <c r="J289" s="84"/>
      <c r="K289" s="84"/>
      <c r="L289" s="84"/>
      <c r="M289" s="84"/>
      <c r="N289" s="84"/>
      <c r="O289" s="84"/>
      <c r="P289" s="90"/>
      <c r="Q289" s="84"/>
      <c r="R289" s="84"/>
      <c r="S289" s="84"/>
      <c r="T289" s="84"/>
      <c r="U289" s="84"/>
      <c r="V289" s="84"/>
      <c r="W289" s="84"/>
      <c r="X289" s="84"/>
      <c r="Y289" s="84"/>
      <c r="Z289" s="84">
        <f t="shared" si="155"/>
        <v>36000</v>
      </c>
      <c r="AA289" s="90">
        <v>36000</v>
      </c>
      <c r="AB289" s="90">
        <f t="shared" si="167"/>
        <v>0</v>
      </c>
      <c r="AC289" s="90">
        <v>36000</v>
      </c>
      <c r="AD289" s="81"/>
      <c r="AE289" s="81"/>
      <c r="AF289" s="81"/>
    </row>
    <row r="290" spans="1:32" s="82" customFormat="1" ht="63.75" x14ac:dyDescent="0.2">
      <c r="A290" s="87" t="s">
        <v>504</v>
      </c>
      <c r="B290" s="126" t="s">
        <v>289</v>
      </c>
      <c r="C290" s="89" t="s">
        <v>483</v>
      </c>
      <c r="D290" s="89" t="s">
        <v>498</v>
      </c>
      <c r="E290" s="89" t="s">
        <v>196</v>
      </c>
      <c r="F290" s="89" t="s">
        <v>187</v>
      </c>
      <c r="G290" s="89" t="s">
        <v>378</v>
      </c>
      <c r="H290" s="84">
        <v>0</v>
      </c>
      <c r="I290" s="84">
        <f>SUM(J290:M290)</f>
        <v>0</v>
      </c>
      <c r="J290" s="84"/>
      <c r="K290" s="84"/>
      <c r="L290" s="84">
        <v>0</v>
      </c>
      <c r="M290" s="84"/>
      <c r="N290" s="84">
        <f>H290+I290</f>
        <v>0</v>
      </c>
      <c r="O290" s="84">
        <v>0</v>
      </c>
      <c r="P290" s="90">
        <v>265792.5</v>
      </c>
      <c r="Q290" s="84">
        <f>R290+S290+T290+U290+V290</f>
        <v>0</v>
      </c>
      <c r="R290" s="84"/>
      <c r="S290" s="84"/>
      <c r="T290" s="84">
        <v>0</v>
      </c>
      <c r="U290" s="84"/>
      <c r="V290" s="84"/>
      <c r="W290" s="84"/>
      <c r="X290" s="84">
        <f>P290+Q290</f>
        <v>265792.5</v>
      </c>
      <c r="Y290" s="84"/>
      <c r="Z290" s="84">
        <f t="shared" si="155"/>
        <v>0</v>
      </c>
      <c r="AA290" s="90">
        <v>265792.5</v>
      </c>
      <c r="AB290" s="90">
        <f t="shared" si="167"/>
        <v>-32481.5</v>
      </c>
      <c r="AC290" s="90">
        <f>265792.5-32481.5</f>
        <v>233311</v>
      </c>
      <c r="AD290" s="81"/>
      <c r="AE290" s="81"/>
      <c r="AF290" s="81"/>
    </row>
    <row r="291" spans="1:32" s="82" customFormat="1" ht="25.5" x14ac:dyDescent="0.2">
      <c r="A291" s="87" t="s">
        <v>488</v>
      </c>
      <c r="B291" s="126" t="s">
        <v>289</v>
      </c>
      <c r="C291" s="89" t="s">
        <v>483</v>
      </c>
      <c r="D291" s="89" t="s">
        <v>489</v>
      </c>
      <c r="E291" s="89" t="s">
        <v>196</v>
      </c>
      <c r="F291" s="89" t="s">
        <v>246</v>
      </c>
      <c r="G291" s="89" t="s">
        <v>378</v>
      </c>
      <c r="H291" s="84"/>
      <c r="I291" s="84"/>
      <c r="J291" s="84"/>
      <c r="K291" s="84"/>
      <c r="L291" s="84"/>
      <c r="M291" s="84"/>
      <c r="N291" s="84"/>
      <c r="O291" s="84"/>
      <c r="P291" s="90"/>
      <c r="Q291" s="84"/>
      <c r="R291" s="84"/>
      <c r="S291" s="84"/>
      <c r="T291" s="84"/>
      <c r="U291" s="84"/>
      <c r="V291" s="84"/>
      <c r="W291" s="84"/>
      <c r="X291" s="84"/>
      <c r="Y291" s="84"/>
      <c r="Z291" s="84">
        <f t="shared" si="155"/>
        <v>1799837</v>
      </c>
      <c r="AA291" s="90">
        <v>1799837</v>
      </c>
      <c r="AB291" s="90">
        <f t="shared" si="167"/>
        <v>0</v>
      </c>
      <c r="AC291" s="90">
        <v>1799837</v>
      </c>
      <c r="AD291" s="81"/>
      <c r="AE291" s="81"/>
      <c r="AF291" s="81"/>
    </row>
    <row r="292" spans="1:32" s="82" customFormat="1" ht="38.25" x14ac:dyDescent="0.2">
      <c r="A292" s="87" t="s">
        <v>490</v>
      </c>
      <c r="B292" s="126" t="s">
        <v>289</v>
      </c>
      <c r="C292" s="89" t="s">
        <v>483</v>
      </c>
      <c r="D292" s="89" t="s">
        <v>489</v>
      </c>
      <c r="E292" s="89" t="s">
        <v>196</v>
      </c>
      <c r="F292" s="89" t="s">
        <v>246</v>
      </c>
      <c r="G292" s="89" t="s">
        <v>378</v>
      </c>
      <c r="H292" s="84"/>
      <c r="I292" s="84"/>
      <c r="J292" s="84"/>
      <c r="K292" s="84"/>
      <c r="L292" s="84"/>
      <c r="M292" s="84"/>
      <c r="N292" s="84"/>
      <c r="O292" s="84"/>
      <c r="P292" s="90"/>
      <c r="Q292" s="84"/>
      <c r="R292" s="84"/>
      <c r="S292" s="84"/>
      <c r="T292" s="84"/>
      <c r="U292" s="84"/>
      <c r="V292" s="84"/>
      <c r="W292" s="84"/>
      <c r="X292" s="84"/>
      <c r="Y292" s="84"/>
      <c r="Z292" s="84">
        <f t="shared" si="155"/>
        <v>436053.94</v>
      </c>
      <c r="AA292" s="90">
        <v>436053.94</v>
      </c>
      <c r="AB292" s="90">
        <f t="shared" si="167"/>
        <v>0</v>
      </c>
      <c r="AC292" s="90">
        <v>436053.94</v>
      </c>
      <c r="AD292" s="81"/>
      <c r="AE292" s="81"/>
      <c r="AF292" s="81"/>
    </row>
    <row r="293" spans="1:32" s="82" customFormat="1" ht="25.5" x14ac:dyDescent="0.2">
      <c r="A293" s="83" t="s">
        <v>505</v>
      </c>
      <c r="B293" s="128" t="s">
        <v>289</v>
      </c>
      <c r="C293" s="78" t="s">
        <v>506</v>
      </c>
      <c r="D293" s="78" t="s">
        <v>507</v>
      </c>
      <c r="E293" s="78" t="s">
        <v>168</v>
      </c>
      <c r="F293" s="78" t="s">
        <v>168</v>
      </c>
      <c r="G293" s="78"/>
      <c r="H293" s="79" t="e">
        <f t="shared" ref="H293:V293" si="171">H294+H301+H325+H320</f>
        <v>#REF!</v>
      </c>
      <c r="I293" s="79" t="e">
        <f t="shared" si="171"/>
        <v>#REF!</v>
      </c>
      <c r="J293" s="79" t="e">
        <f t="shared" si="171"/>
        <v>#REF!</v>
      </c>
      <c r="K293" s="79" t="e">
        <f t="shared" si="171"/>
        <v>#REF!</v>
      </c>
      <c r="L293" s="79" t="e">
        <f t="shared" si="171"/>
        <v>#REF!</v>
      </c>
      <c r="M293" s="79" t="e">
        <f t="shared" si="171"/>
        <v>#REF!</v>
      </c>
      <c r="N293" s="79" t="e">
        <f t="shared" si="171"/>
        <v>#REF!</v>
      </c>
      <c r="O293" s="79" t="e">
        <f t="shared" si="171"/>
        <v>#REF!</v>
      </c>
      <c r="P293" s="80">
        <f t="shared" si="171"/>
        <v>7089287.1600000001</v>
      </c>
      <c r="Q293" s="80" t="e">
        <f t="shared" si="171"/>
        <v>#REF!</v>
      </c>
      <c r="R293" s="80" t="e">
        <f t="shared" si="171"/>
        <v>#REF!</v>
      </c>
      <c r="S293" s="80" t="e">
        <f t="shared" si="171"/>
        <v>#REF!</v>
      </c>
      <c r="T293" s="80" t="e">
        <f t="shared" si="171"/>
        <v>#REF!</v>
      </c>
      <c r="U293" s="80" t="e">
        <f t="shared" si="171"/>
        <v>#REF!</v>
      </c>
      <c r="V293" s="80" t="e">
        <f t="shared" si="171"/>
        <v>#REF!</v>
      </c>
      <c r="W293" s="80"/>
      <c r="X293" s="80" t="e">
        <f>X294+X301+X325+X320</f>
        <v>#REF!</v>
      </c>
      <c r="Y293" s="79"/>
      <c r="Z293" s="79">
        <f t="shared" si="155"/>
        <v>0</v>
      </c>
      <c r="AA293" s="80">
        <f t="shared" ref="AA293" si="172">AA294+AA301+AA325+AA320</f>
        <v>7089287.1600000001</v>
      </c>
      <c r="AB293" s="80">
        <f t="shared" ref="AB293" si="173">AB294+AB301+AB325+AB320</f>
        <v>873102.96999999974</v>
      </c>
      <c r="AC293" s="80">
        <f t="shared" ref="AC293" si="174">AC294+AC301+AC325+AC320</f>
        <v>7962390.129999999</v>
      </c>
      <c r="AD293" s="81"/>
      <c r="AE293" s="81"/>
      <c r="AF293" s="81"/>
    </row>
    <row r="294" spans="1:32" s="82" customFormat="1" x14ac:dyDescent="0.2">
      <c r="A294" s="76" t="s">
        <v>173</v>
      </c>
      <c r="B294" s="128" t="s">
        <v>289</v>
      </c>
      <c r="C294" s="78" t="s">
        <v>506</v>
      </c>
      <c r="D294" s="78" t="s">
        <v>507</v>
      </c>
      <c r="E294" s="78" t="s">
        <v>168</v>
      </c>
      <c r="F294" s="78" t="s">
        <v>174</v>
      </c>
      <c r="G294" s="78"/>
      <c r="H294" s="79">
        <f t="shared" ref="H294:O294" si="175">H295+H297+H300</f>
        <v>3855285.21</v>
      </c>
      <c r="I294" s="79">
        <f t="shared" si="175"/>
        <v>0</v>
      </c>
      <c r="J294" s="79">
        <f t="shared" si="175"/>
        <v>0</v>
      </c>
      <c r="K294" s="79">
        <f t="shared" si="175"/>
        <v>0</v>
      </c>
      <c r="L294" s="79">
        <f t="shared" si="175"/>
        <v>0</v>
      </c>
      <c r="M294" s="79">
        <f t="shared" si="175"/>
        <v>0</v>
      </c>
      <c r="N294" s="79">
        <f t="shared" si="175"/>
        <v>3855285.21</v>
      </c>
      <c r="O294" s="79">
        <f t="shared" si="175"/>
        <v>3854775.21</v>
      </c>
      <c r="P294" s="80">
        <f t="shared" ref="P294:X294" si="176">P295+P297+P300+P296</f>
        <v>4758627.57</v>
      </c>
      <c r="Q294" s="80">
        <f t="shared" si="176"/>
        <v>0</v>
      </c>
      <c r="R294" s="80">
        <f t="shared" si="176"/>
        <v>0</v>
      </c>
      <c r="S294" s="80">
        <f t="shared" si="176"/>
        <v>0</v>
      </c>
      <c r="T294" s="80">
        <f t="shared" si="176"/>
        <v>0</v>
      </c>
      <c r="U294" s="80">
        <f t="shared" si="176"/>
        <v>0</v>
      </c>
      <c r="V294" s="80">
        <f t="shared" si="176"/>
        <v>0</v>
      </c>
      <c r="W294" s="80">
        <f t="shared" si="176"/>
        <v>0</v>
      </c>
      <c r="X294" s="80">
        <f t="shared" si="176"/>
        <v>4758627.57</v>
      </c>
      <c r="Y294" s="79"/>
      <c r="Z294" s="79">
        <f t="shared" si="155"/>
        <v>0</v>
      </c>
      <c r="AA294" s="80">
        <f t="shared" ref="AA294:AB294" si="177">AA295+AA297+AA300+AA296</f>
        <v>4758627.57</v>
      </c>
      <c r="AB294" s="80">
        <f t="shared" si="177"/>
        <v>496451.7899999998</v>
      </c>
      <c r="AC294" s="80">
        <f>AC295+AC297+AC300+AC296</f>
        <v>5255079.3599999994</v>
      </c>
      <c r="AD294" s="81"/>
      <c r="AE294" s="81"/>
      <c r="AF294" s="81"/>
    </row>
    <row r="295" spans="1:32" s="82" customFormat="1" x14ac:dyDescent="0.2">
      <c r="A295" s="87" t="s">
        <v>175</v>
      </c>
      <c r="B295" s="126" t="s">
        <v>289</v>
      </c>
      <c r="C295" s="89" t="s">
        <v>506</v>
      </c>
      <c r="D295" s="89" t="s">
        <v>507</v>
      </c>
      <c r="E295" s="89" t="s">
        <v>468</v>
      </c>
      <c r="F295" s="89" t="s">
        <v>177</v>
      </c>
      <c r="G295" s="89"/>
      <c r="H295" s="84">
        <v>2797799.7</v>
      </c>
      <c r="I295" s="84">
        <f>SUM(J295:M295)</f>
        <v>0</v>
      </c>
      <c r="J295" s="84">
        <v>0</v>
      </c>
      <c r="K295" s="84">
        <v>0</v>
      </c>
      <c r="L295" s="84">
        <v>0</v>
      </c>
      <c r="M295" s="84">
        <v>0</v>
      </c>
      <c r="N295" s="84">
        <f>H295+I295</f>
        <v>2797799.7</v>
      </c>
      <c r="O295" s="84">
        <v>2797799.7</v>
      </c>
      <c r="P295" s="90">
        <f>3501250.05-10000</f>
        <v>3491250.05</v>
      </c>
      <c r="Q295" s="84">
        <f>R295+S295+T295+U295+V295</f>
        <v>0</v>
      </c>
      <c r="R295" s="84">
        <v>0</v>
      </c>
      <c r="S295" s="84"/>
      <c r="T295" s="84"/>
      <c r="U295" s="84">
        <v>0</v>
      </c>
      <c r="V295" s="84"/>
      <c r="W295" s="84"/>
      <c r="X295" s="84">
        <f>P295+Q295</f>
        <v>3491250.05</v>
      </c>
      <c r="Y295" s="90"/>
      <c r="Z295" s="90">
        <f t="shared" si="155"/>
        <v>-20000</v>
      </c>
      <c r="AA295" s="90">
        <v>3471250.05</v>
      </c>
      <c r="AB295" s="90">
        <f t="shared" ref="AB295:AB314" si="178">AC295-AA295</f>
        <v>381299.37999999989</v>
      </c>
      <c r="AC295" s="90">
        <f>381299.38+3471250.05</f>
        <v>3852549.4299999997</v>
      </c>
      <c r="AD295" s="81"/>
      <c r="AE295" s="81"/>
      <c r="AF295" s="81"/>
    </row>
    <row r="296" spans="1:32" s="82" customFormat="1" x14ac:dyDescent="0.2">
      <c r="A296" s="87" t="s">
        <v>405</v>
      </c>
      <c r="B296" s="126" t="s">
        <v>289</v>
      </c>
      <c r="C296" s="89" t="s">
        <v>506</v>
      </c>
      <c r="D296" s="89" t="s">
        <v>507</v>
      </c>
      <c r="E296" s="89" t="s">
        <v>468</v>
      </c>
      <c r="F296" s="89" t="s">
        <v>182</v>
      </c>
      <c r="G296" s="89"/>
      <c r="H296" s="84"/>
      <c r="I296" s="84"/>
      <c r="J296" s="84"/>
      <c r="K296" s="84"/>
      <c r="L296" s="84"/>
      <c r="M296" s="84"/>
      <c r="N296" s="84"/>
      <c r="O296" s="84"/>
      <c r="P296" s="90">
        <v>10000</v>
      </c>
      <c r="Q296" s="84">
        <f>R296+S296+T296+U296+V296</f>
        <v>0</v>
      </c>
      <c r="R296" s="84">
        <v>0</v>
      </c>
      <c r="S296" s="84"/>
      <c r="T296" s="84"/>
      <c r="U296" s="84"/>
      <c r="V296" s="84"/>
      <c r="W296" s="84"/>
      <c r="X296" s="84">
        <f>P296+Q296</f>
        <v>10000</v>
      </c>
      <c r="Y296" s="90"/>
      <c r="Z296" s="90">
        <f t="shared" si="155"/>
        <v>20000</v>
      </c>
      <c r="AA296" s="90">
        <v>30000</v>
      </c>
      <c r="AB296" s="90">
        <f t="shared" si="178"/>
        <v>0</v>
      </c>
      <c r="AC296" s="90">
        <v>30000</v>
      </c>
      <c r="AD296" s="81"/>
      <c r="AE296" s="81"/>
      <c r="AF296" s="81"/>
    </row>
    <row r="297" spans="1:32" s="82" customFormat="1" x14ac:dyDescent="0.2">
      <c r="A297" s="87" t="s">
        <v>406</v>
      </c>
      <c r="B297" s="126" t="s">
        <v>289</v>
      </c>
      <c r="C297" s="89" t="s">
        <v>506</v>
      </c>
      <c r="D297" s="89" t="s">
        <v>507</v>
      </c>
      <c r="E297" s="89" t="s">
        <v>219</v>
      </c>
      <c r="F297" s="89" t="s">
        <v>221</v>
      </c>
      <c r="G297" s="89"/>
      <c r="H297" s="84">
        <f t="shared" ref="H297:V297" si="179">SUM(H298:H299)</f>
        <v>212550</v>
      </c>
      <c r="I297" s="84">
        <f t="shared" si="179"/>
        <v>0</v>
      </c>
      <c r="J297" s="84">
        <f t="shared" si="179"/>
        <v>0</v>
      </c>
      <c r="K297" s="84">
        <f t="shared" si="179"/>
        <v>0</v>
      </c>
      <c r="L297" s="84">
        <f t="shared" si="179"/>
        <v>0</v>
      </c>
      <c r="M297" s="84">
        <f t="shared" si="179"/>
        <v>0</v>
      </c>
      <c r="N297" s="84">
        <f t="shared" si="179"/>
        <v>212550</v>
      </c>
      <c r="O297" s="84">
        <f t="shared" si="179"/>
        <v>212040</v>
      </c>
      <c r="P297" s="90">
        <f t="shared" si="179"/>
        <v>200000</v>
      </c>
      <c r="Q297" s="90">
        <f t="shared" si="179"/>
        <v>0</v>
      </c>
      <c r="R297" s="90">
        <f t="shared" si="179"/>
        <v>0</v>
      </c>
      <c r="S297" s="90">
        <f t="shared" si="179"/>
        <v>0</v>
      </c>
      <c r="T297" s="90">
        <f t="shared" si="179"/>
        <v>0</v>
      </c>
      <c r="U297" s="90">
        <f t="shared" si="179"/>
        <v>0</v>
      </c>
      <c r="V297" s="90">
        <f t="shared" si="179"/>
        <v>0</v>
      </c>
      <c r="W297" s="90"/>
      <c r="X297" s="90">
        <f>SUM(X298:X299)</f>
        <v>200000</v>
      </c>
      <c r="Y297" s="84"/>
      <c r="Z297" s="84">
        <f t="shared" si="155"/>
        <v>0</v>
      </c>
      <c r="AA297" s="90">
        <f>SUM(AA298:AA299)</f>
        <v>200000</v>
      </c>
      <c r="AB297" s="90">
        <f t="shared" si="178"/>
        <v>0</v>
      </c>
      <c r="AC297" s="90">
        <f>SUM(AC298:AC299)</f>
        <v>200000</v>
      </c>
      <c r="AD297" s="81"/>
      <c r="AE297" s="81"/>
      <c r="AF297" s="81"/>
    </row>
    <row r="298" spans="1:32" s="82" customFormat="1" ht="25.5" hidden="1" x14ac:dyDescent="0.2">
      <c r="A298" s="91" t="s">
        <v>508</v>
      </c>
      <c r="B298" s="126" t="s">
        <v>289</v>
      </c>
      <c r="C298" s="89" t="s">
        <v>506</v>
      </c>
      <c r="D298" s="89" t="s">
        <v>507</v>
      </c>
      <c r="E298" s="89" t="s">
        <v>219</v>
      </c>
      <c r="F298" s="89" t="s">
        <v>221</v>
      </c>
      <c r="G298" s="89" t="s">
        <v>188</v>
      </c>
      <c r="H298" s="84">
        <v>2550</v>
      </c>
      <c r="I298" s="84">
        <f>SUM(J298:M298)</f>
        <v>0</v>
      </c>
      <c r="J298" s="84"/>
      <c r="K298" s="84"/>
      <c r="L298" s="84"/>
      <c r="M298" s="84"/>
      <c r="N298" s="84">
        <f>H298+I298</f>
        <v>2550</v>
      </c>
      <c r="O298" s="84">
        <f>2550*80%</f>
        <v>2040</v>
      </c>
      <c r="P298" s="90">
        <v>0</v>
      </c>
      <c r="Q298" s="84">
        <f>R298+S298+T298+U298+V298</f>
        <v>0</v>
      </c>
      <c r="R298" s="84">
        <v>0</v>
      </c>
      <c r="S298" s="84"/>
      <c r="T298" s="84"/>
      <c r="U298" s="84"/>
      <c r="V298" s="84"/>
      <c r="W298" s="84"/>
      <c r="X298" s="84">
        <f>P298+Q298</f>
        <v>0</v>
      </c>
      <c r="Y298" s="84"/>
      <c r="Z298" s="84">
        <f t="shared" si="155"/>
        <v>0</v>
      </c>
      <c r="AA298" s="90">
        <v>0</v>
      </c>
      <c r="AB298" s="90">
        <f t="shared" si="178"/>
        <v>0</v>
      </c>
      <c r="AC298" s="90">
        <v>0</v>
      </c>
      <c r="AD298" s="81"/>
      <c r="AE298" s="81"/>
      <c r="AF298" s="81"/>
    </row>
    <row r="299" spans="1:32" s="82" customFormat="1" x14ac:dyDescent="0.2">
      <c r="A299" s="92" t="s">
        <v>509</v>
      </c>
      <c r="B299" s="126" t="s">
        <v>289</v>
      </c>
      <c r="C299" s="89" t="s">
        <v>506</v>
      </c>
      <c r="D299" s="89" t="s">
        <v>507</v>
      </c>
      <c r="E299" s="89" t="s">
        <v>219</v>
      </c>
      <c r="F299" s="89" t="s">
        <v>221</v>
      </c>
      <c r="G299" s="89" t="s">
        <v>222</v>
      </c>
      <c r="H299" s="84">
        <v>210000</v>
      </c>
      <c r="I299" s="84">
        <f>SUM(J299:M299)</f>
        <v>0</v>
      </c>
      <c r="J299" s="84">
        <v>0</v>
      </c>
      <c r="K299" s="84"/>
      <c r="L299" s="84"/>
      <c r="M299" s="84"/>
      <c r="N299" s="84">
        <f>H299+I299</f>
        <v>210000</v>
      </c>
      <c r="O299" s="84">
        <v>210000</v>
      </c>
      <c r="P299" s="90">
        <f>200000</f>
        <v>200000</v>
      </c>
      <c r="Q299" s="84">
        <f>R299+S299+T299+U299+V299</f>
        <v>0</v>
      </c>
      <c r="R299" s="84">
        <v>0</v>
      </c>
      <c r="S299" s="84"/>
      <c r="T299" s="84"/>
      <c r="U299" s="84"/>
      <c r="V299" s="84"/>
      <c r="W299" s="84"/>
      <c r="X299" s="84">
        <f>P299+Q299</f>
        <v>200000</v>
      </c>
      <c r="Y299" s="84"/>
      <c r="Z299" s="84">
        <f t="shared" si="155"/>
        <v>0</v>
      </c>
      <c r="AA299" s="90">
        <f>200000</f>
        <v>200000</v>
      </c>
      <c r="AB299" s="90">
        <f t="shared" si="178"/>
        <v>0</v>
      </c>
      <c r="AC299" s="90">
        <f>200000</f>
        <v>200000</v>
      </c>
      <c r="AD299" s="81"/>
      <c r="AE299" s="81"/>
      <c r="AF299" s="81"/>
    </row>
    <row r="300" spans="1:32" s="82" customFormat="1" x14ac:dyDescent="0.2">
      <c r="A300" s="87" t="s">
        <v>178</v>
      </c>
      <c r="B300" s="126" t="s">
        <v>289</v>
      </c>
      <c r="C300" s="89" t="s">
        <v>506</v>
      </c>
      <c r="D300" s="89" t="s">
        <v>507</v>
      </c>
      <c r="E300" s="89" t="s">
        <v>469</v>
      </c>
      <c r="F300" s="89" t="s">
        <v>180</v>
      </c>
      <c r="G300" s="89"/>
      <c r="H300" s="84">
        <v>844935.51</v>
      </c>
      <c r="I300" s="84">
        <f>SUM(J300:M300)</f>
        <v>0</v>
      </c>
      <c r="J300" s="84">
        <v>0</v>
      </c>
      <c r="K300" s="84">
        <v>0</v>
      </c>
      <c r="L300" s="84">
        <v>0</v>
      </c>
      <c r="M300" s="84">
        <v>0</v>
      </c>
      <c r="N300" s="84">
        <f>H300+I300</f>
        <v>844935.51</v>
      </c>
      <c r="O300" s="84">
        <v>844935.51</v>
      </c>
      <c r="P300" s="90">
        <v>1057377.52</v>
      </c>
      <c r="Q300" s="84">
        <f>R300+S300+T300+U300+V300</f>
        <v>0</v>
      </c>
      <c r="R300" s="84">
        <v>0</v>
      </c>
      <c r="S300" s="84"/>
      <c r="T300" s="84"/>
      <c r="U300" s="84">
        <v>0</v>
      </c>
      <c r="V300" s="84"/>
      <c r="W300" s="84"/>
      <c r="X300" s="84">
        <f>P300+Q300</f>
        <v>1057377.52</v>
      </c>
      <c r="Y300" s="90"/>
      <c r="Z300" s="90">
        <f t="shared" si="155"/>
        <v>0</v>
      </c>
      <c r="AA300" s="90">
        <v>1057377.52</v>
      </c>
      <c r="AB300" s="90">
        <f t="shared" si="178"/>
        <v>115152.40999999992</v>
      </c>
      <c r="AC300" s="90">
        <f>115152.41+1057377.52</f>
        <v>1172529.93</v>
      </c>
      <c r="AD300" s="81"/>
      <c r="AE300" s="81"/>
      <c r="AF300" s="81"/>
    </row>
    <row r="301" spans="1:32" s="82" customFormat="1" x14ac:dyDescent="0.2">
      <c r="A301" s="76" t="s">
        <v>223</v>
      </c>
      <c r="B301" s="128" t="s">
        <v>289</v>
      </c>
      <c r="C301" s="78" t="s">
        <v>506</v>
      </c>
      <c r="D301" s="78" t="s">
        <v>507</v>
      </c>
      <c r="E301" s="78" t="s">
        <v>168</v>
      </c>
      <c r="F301" s="78" t="s">
        <v>224</v>
      </c>
      <c r="G301" s="78"/>
      <c r="H301" s="79" t="e">
        <f>H302+H303+H304+H307+H311</f>
        <v>#REF!</v>
      </c>
      <c r="I301" s="79" t="e">
        <f t="shared" ref="I301:N301" si="180">I302+I304+I307+I311</f>
        <v>#REF!</v>
      </c>
      <c r="J301" s="79" t="e">
        <f t="shared" si="180"/>
        <v>#REF!</v>
      </c>
      <c r="K301" s="79" t="e">
        <f t="shared" si="180"/>
        <v>#REF!</v>
      </c>
      <c r="L301" s="79" t="e">
        <f t="shared" si="180"/>
        <v>#REF!</v>
      </c>
      <c r="M301" s="79" t="e">
        <f t="shared" si="180"/>
        <v>#REF!</v>
      </c>
      <c r="N301" s="79" t="e">
        <f t="shared" si="180"/>
        <v>#REF!</v>
      </c>
      <c r="O301" s="79" t="e">
        <f t="shared" ref="O301:V301" si="181">O302+O303+O304+O307+O311</f>
        <v>#REF!</v>
      </c>
      <c r="P301" s="80">
        <f t="shared" si="181"/>
        <v>2310659.59</v>
      </c>
      <c r="Q301" s="80" t="e">
        <f t="shared" si="181"/>
        <v>#REF!</v>
      </c>
      <c r="R301" s="80" t="e">
        <f t="shared" si="181"/>
        <v>#REF!</v>
      </c>
      <c r="S301" s="80" t="e">
        <f t="shared" si="181"/>
        <v>#REF!</v>
      </c>
      <c r="T301" s="80" t="e">
        <f t="shared" si="181"/>
        <v>#REF!</v>
      </c>
      <c r="U301" s="80" t="e">
        <f t="shared" si="181"/>
        <v>#REF!</v>
      </c>
      <c r="V301" s="80" t="e">
        <f t="shared" si="181"/>
        <v>#REF!</v>
      </c>
      <c r="W301" s="80"/>
      <c r="X301" s="80" t="e">
        <f>X302+X303+X304+X307+X311</f>
        <v>#REF!</v>
      </c>
      <c r="Y301" s="84"/>
      <c r="Z301" s="84">
        <f t="shared" si="155"/>
        <v>0</v>
      </c>
      <c r="AA301" s="80">
        <f>AA302+AA303+AA304+AA307+AA311</f>
        <v>2310659.59</v>
      </c>
      <c r="AB301" s="80">
        <f t="shared" ref="AB301" si="182">AB302+AB303+AB304+AB307+AB311</f>
        <v>376651.18</v>
      </c>
      <c r="AC301" s="80">
        <f>AC302+AC303+AC304+AC307+AC311</f>
        <v>2687310.77</v>
      </c>
      <c r="AD301" s="81"/>
      <c r="AE301" s="81"/>
      <c r="AF301" s="81"/>
    </row>
    <row r="302" spans="1:32" s="82" customFormat="1" x14ac:dyDescent="0.2">
      <c r="A302" s="87" t="s">
        <v>510</v>
      </c>
      <c r="B302" s="126" t="s">
        <v>289</v>
      </c>
      <c r="C302" s="89" t="s">
        <v>506</v>
      </c>
      <c r="D302" s="89" t="s">
        <v>507</v>
      </c>
      <c r="E302" s="89" t="s">
        <v>207</v>
      </c>
      <c r="F302" s="89" t="s">
        <v>226</v>
      </c>
      <c r="G302" s="89"/>
      <c r="H302" s="84">
        <v>110000</v>
      </c>
      <c r="I302" s="84">
        <f>SUM(J302:M302)</f>
        <v>0</v>
      </c>
      <c r="J302" s="84"/>
      <c r="K302" s="84"/>
      <c r="L302" s="84"/>
      <c r="M302" s="84"/>
      <c r="N302" s="84">
        <v>93365</v>
      </c>
      <c r="O302" s="84">
        <f>110000*80%</f>
        <v>88000</v>
      </c>
      <c r="P302" s="90">
        <f>24000+96000+10000</f>
        <v>130000</v>
      </c>
      <c r="Q302" s="84">
        <f>R302+S302+T302+U302+V302</f>
        <v>0</v>
      </c>
      <c r="R302" s="84">
        <v>0</v>
      </c>
      <c r="S302" s="84"/>
      <c r="T302" s="84"/>
      <c r="U302" s="84">
        <v>0</v>
      </c>
      <c r="V302" s="84"/>
      <c r="W302" s="84"/>
      <c r="X302" s="84">
        <f>P302+Q302</f>
        <v>130000</v>
      </c>
      <c r="Y302" s="84"/>
      <c r="Z302" s="84">
        <f t="shared" si="155"/>
        <v>2614.1600000000035</v>
      </c>
      <c r="AA302" s="90">
        <v>132614.16</v>
      </c>
      <c r="AB302" s="90">
        <f t="shared" si="178"/>
        <v>0</v>
      </c>
      <c r="AC302" s="90">
        <v>132614.16</v>
      </c>
      <c r="AD302" s="81"/>
      <c r="AE302" s="81"/>
      <c r="AF302" s="81"/>
    </row>
    <row r="303" spans="1:32" s="82" customFormat="1" x14ac:dyDescent="0.2">
      <c r="A303" s="87" t="s">
        <v>510</v>
      </c>
      <c r="B303" s="126" t="s">
        <v>289</v>
      </c>
      <c r="C303" s="89" t="s">
        <v>506</v>
      </c>
      <c r="D303" s="89" t="s">
        <v>507</v>
      </c>
      <c r="E303" s="89" t="s">
        <v>196</v>
      </c>
      <c r="F303" s="89" t="s">
        <v>226</v>
      </c>
      <c r="G303" s="89"/>
      <c r="H303" s="84">
        <v>4000</v>
      </c>
      <c r="I303" s="84"/>
      <c r="J303" s="84"/>
      <c r="K303" s="84"/>
      <c r="L303" s="84"/>
      <c r="M303" s="84"/>
      <c r="N303" s="84"/>
      <c r="O303" s="84">
        <f>4000*80%</f>
        <v>3200</v>
      </c>
      <c r="P303" s="90">
        <f>8000+2000</f>
        <v>10000</v>
      </c>
      <c r="Q303" s="84">
        <f>R303+S303+T303+U303+V303</f>
        <v>0</v>
      </c>
      <c r="R303" s="84">
        <v>0</v>
      </c>
      <c r="S303" s="84"/>
      <c r="T303" s="84"/>
      <c r="U303" s="84"/>
      <c r="V303" s="84"/>
      <c r="W303" s="84"/>
      <c r="X303" s="84">
        <f>P303+Q303</f>
        <v>10000</v>
      </c>
      <c r="Y303" s="84"/>
      <c r="Z303" s="84">
        <f t="shared" si="155"/>
        <v>0</v>
      </c>
      <c r="AA303" s="90">
        <f>8000+2000</f>
        <v>10000</v>
      </c>
      <c r="AB303" s="90">
        <f t="shared" si="178"/>
        <v>0</v>
      </c>
      <c r="AC303" s="90">
        <f>8000+2000</f>
        <v>10000</v>
      </c>
      <c r="AD303" s="81"/>
      <c r="AE303" s="81"/>
      <c r="AF303" s="81"/>
    </row>
    <row r="304" spans="1:32" s="82" customFormat="1" hidden="1" x14ac:dyDescent="0.2">
      <c r="A304" s="87" t="s">
        <v>228</v>
      </c>
      <c r="B304" s="72" t="s">
        <v>289</v>
      </c>
      <c r="C304" s="89" t="s">
        <v>506</v>
      </c>
      <c r="D304" s="89" t="s">
        <v>507</v>
      </c>
      <c r="E304" s="89" t="s">
        <v>219</v>
      </c>
      <c r="F304" s="89" t="s">
        <v>229</v>
      </c>
      <c r="G304" s="89"/>
      <c r="H304" s="84">
        <f t="shared" ref="H304:P304" si="183">SUM(H305:H306)</f>
        <v>80000</v>
      </c>
      <c r="I304" s="84">
        <f t="shared" si="183"/>
        <v>-5600</v>
      </c>
      <c r="J304" s="84">
        <f t="shared" si="183"/>
        <v>-5600</v>
      </c>
      <c r="K304" s="84">
        <f t="shared" si="183"/>
        <v>0</v>
      </c>
      <c r="L304" s="84">
        <f t="shared" si="183"/>
        <v>0</v>
      </c>
      <c r="M304" s="84">
        <f t="shared" si="183"/>
        <v>0</v>
      </c>
      <c r="N304" s="84">
        <f t="shared" si="183"/>
        <v>74400</v>
      </c>
      <c r="O304" s="84">
        <f t="shared" si="183"/>
        <v>64000</v>
      </c>
      <c r="P304" s="90">
        <f t="shared" si="183"/>
        <v>0</v>
      </c>
      <c r="Q304" s="84"/>
      <c r="R304" s="84"/>
      <c r="S304" s="84"/>
      <c r="T304" s="84"/>
      <c r="U304" s="84"/>
      <c r="V304" s="84"/>
      <c r="W304" s="84"/>
      <c r="X304" s="84"/>
      <c r="Y304" s="84"/>
      <c r="Z304" s="84">
        <f t="shared" si="155"/>
        <v>0</v>
      </c>
      <c r="AA304" s="90">
        <f>SUM(AA305:AA306)</f>
        <v>0</v>
      </c>
      <c r="AB304" s="90">
        <f t="shared" si="178"/>
        <v>0</v>
      </c>
      <c r="AC304" s="90">
        <f>SUM(AC305:AC306)</f>
        <v>0</v>
      </c>
      <c r="AD304" s="81"/>
      <c r="AE304" s="81"/>
      <c r="AF304" s="81"/>
    </row>
    <row r="305" spans="1:32" s="82" customFormat="1" ht="25.5" hidden="1" x14ac:dyDescent="0.2">
      <c r="A305" s="91" t="s">
        <v>511</v>
      </c>
      <c r="B305" s="72"/>
      <c r="C305" s="89"/>
      <c r="D305" s="89"/>
      <c r="E305" s="89"/>
      <c r="F305" s="89"/>
      <c r="G305" s="89" t="s">
        <v>188</v>
      </c>
      <c r="H305" s="84">
        <v>80000</v>
      </c>
      <c r="I305" s="84">
        <f>SUM(J305:M305)</f>
        <v>-5600</v>
      </c>
      <c r="J305" s="84">
        <v>-5600</v>
      </c>
      <c r="K305" s="84"/>
      <c r="L305" s="84"/>
      <c r="M305" s="84"/>
      <c r="N305" s="84">
        <f>H305+I305</f>
        <v>74400</v>
      </c>
      <c r="O305" s="84">
        <f>80000*80%</f>
        <v>64000</v>
      </c>
      <c r="P305" s="90">
        <v>0</v>
      </c>
      <c r="Q305" s="84"/>
      <c r="R305" s="84"/>
      <c r="S305" s="84"/>
      <c r="T305" s="84"/>
      <c r="U305" s="84"/>
      <c r="V305" s="84"/>
      <c r="W305" s="84"/>
      <c r="X305" s="84"/>
      <c r="Y305" s="84"/>
      <c r="Z305" s="84">
        <f t="shared" si="155"/>
        <v>0</v>
      </c>
      <c r="AA305" s="90">
        <v>0</v>
      </c>
      <c r="AB305" s="90">
        <f t="shared" si="178"/>
        <v>0</v>
      </c>
      <c r="AC305" s="90">
        <v>0</v>
      </c>
      <c r="AD305" s="81"/>
      <c r="AE305" s="81"/>
      <c r="AF305" s="81"/>
    </row>
    <row r="306" spans="1:32" s="82" customFormat="1" ht="38.25" hidden="1" x14ac:dyDescent="0.2">
      <c r="A306" s="87" t="s">
        <v>301</v>
      </c>
      <c r="B306" s="72"/>
      <c r="C306" s="89"/>
      <c r="D306" s="89"/>
      <c r="E306" s="89"/>
      <c r="F306" s="89"/>
      <c r="G306" s="89" t="s">
        <v>512</v>
      </c>
      <c r="H306" s="84">
        <v>0</v>
      </c>
      <c r="I306" s="84">
        <f>SUM(J306:M306)</f>
        <v>0</v>
      </c>
      <c r="J306" s="84"/>
      <c r="K306" s="84"/>
      <c r="L306" s="84"/>
      <c r="M306" s="84"/>
      <c r="N306" s="84">
        <f>H306+I306</f>
        <v>0</v>
      </c>
      <c r="O306" s="84">
        <v>0</v>
      </c>
      <c r="P306" s="90">
        <v>0</v>
      </c>
      <c r="Q306" s="84"/>
      <c r="R306" s="84"/>
      <c r="S306" s="84"/>
      <c r="T306" s="84"/>
      <c r="U306" s="84"/>
      <c r="V306" s="84"/>
      <c r="W306" s="84"/>
      <c r="X306" s="84"/>
      <c r="Y306" s="84"/>
      <c r="Z306" s="84">
        <f t="shared" si="155"/>
        <v>0</v>
      </c>
      <c r="AA306" s="90">
        <v>0</v>
      </c>
      <c r="AB306" s="90">
        <f t="shared" si="178"/>
        <v>0</v>
      </c>
      <c r="AC306" s="90">
        <v>0</v>
      </c>
      <c r="AD306" s="81"/>
      <c r="AE306" s="81"/>
      <c r="AF306" s="81"/>
    </row>
    <row r="307" spans="1:32" s="82" customFormat="1" x14ac:dyDescent="0.2">
      <c r="A307" s="87" t="s">
        <v>245</v>
      </c>
      <c r="B307" s="72" t="s">
        <v>289</v>
      </c>
      <c r="C307" s="89" t="s">
        <v>506</v>
      </c>
      <c r="D307" s="89" t="s">
        <v>507</v>
      </c>
      <c r="E307" s="89" t="s">
        <v>168</v>
      </c>
      <c r="F307" s="89" t="s">
        <v>246</v>
      </c>
      <c r="G307" s="89"/>
      <c r="H307" s="84" t="e">
        <f>H308+#REF!</f>
        <v>#REF!</v>
      </c>
      <c r="I307" s="84" t="e">
        <f>I308+#REF!</f>
        <v>#REF!</v>
      </c>
      <c r="J307" s="84" t="e">
        <f>J308+#REF!</f>
        <v>#REF!</v>
      </c>
      <c r="K307" s="84" t="e">
        <f>K308+#REF!</f>
        <v>#REF!</v>
      </c>
      <c r="L307" s="84" t="e">
        <f>L308+#REF!</f>
        <v>#REF!</v>
      </c>
      <c r="M307" s="84" t="e">
        <f>M308+#REF!</f>
        <v>#REF!</v>
      </c>
      <c r="N307" s="84" t="e">
        <f>N308+#REF!</f>
        <v>#REF!</v>
      </c>
      <c r="O307" s="84" t="e">
        <f>O308+#REF!</f>
        <v>#REF!</v>
      </c>
      <c r="P307" s="90">
        <f>P310</f>
        <v>434455.54</v>
      </c>
      <c r="Q307" s="90" t="e">
        <f>#REF!+Q310+Q309</f>
        <v>#REF!</v>
      </c>
      <c r="R307" s="90" t="e">
        <f>#REF!+R310+R309</f>
        <v>#REF!</v>
      </c>
      <c r="S307" s="90" t="e">
        <f>#REF!+S310+S309</f>
        <v>#REF!</v>
      </c>
      <c r="T307" s="90" t="e">
        <f>#REF!+T310+T309</f>
        <v>#REF!</v>
      </c>
      <c r="U307" s="90" t="e">
        <f>#REF!+U310+U309</f>
        <v>#REF!</v>
      </c>
      <c r="V307" s="90" t="e">
        <f>#REF!+V310+V309</f>
        <v>#REF!</v>
      </c>
      <c r="W307" s="90" t="e">
        <f>#REF!+W310+W309</f>
        <v>#REF!</v>
      </c>
      <c r="X307" s="90" t="e">
        <f>#REF!+X310+X309</f>
        <v>#REF!</v>
      </c>
      <c r="Y307" s="84"/>
      <c r="Z307" s="84">
        <f t="shared" si="155"/>
        <v>0</v>
      </c>
      <c r="AA307" s="80">
        <f>AA310</f>
        <v>434455.54</v>
      </c>
      <c r="AB307" s="80">
        <f t="shared" si="178"/>
        <v>106651.18</v>
      </c>
      <c r="AC307" s="80">
        <f>AC310</f>
        <v>541106.72</v>
      </c>
      <c r="AD307" s="81"/>
      <c r="AE307" s="81"/>
      <c r="AF307" s="81"/>
    </row>
    <row r="308" spans="1:32" s="82" customFormat="1" hidden="1" x14ac:dyDescent="0.2">
      <c r="A308" s="92" t="s">
        <v>251</v>
      </c>
      <c r="B308" s="126"/>
      <c r="C308" s="89"/>
      <c r="D308" s="89"/>
      <c r="E308" s="89"/>
      <c r="F308" s="89"/>
      <c r="G308" s="89" t="s">
        <v>252</v>
      </c>
      <c r="H308" s="84">
        <v>0</v>
      </c>
      <c r="I308" s="84">
        <f>SUM(J308:M308)</f>
        <v>0</v>
      </c>
      <c r="J308" s="84"/>
      <c r="K308" s="84"/>
      <c r="L308" s="84"/>
      <c r="M308" s="84"/>
      <c r="N308" s="84">
        <f>H308+I308</f>
        <v>0</v>
      </c>
      <c r="O308" s="84">
        <v>0</v>
      </c>
      <c r="P308" s="90">
        <v>0</v>
      </c>
      <c r="Q308" s="84"/>
      <c r="R308" s="84"/>
      <c r="S308" s="84"/>
      <c r="T308" s="84"/>
      <c r="U308" s="84"/>
      <c r="V308" s="84"/>
      <c r="W308" s="84"/>
      <c r="X308" s="84"/>
      <c r="Y308" s="84"/>
      <c r="Z308" s="84">
        <f t="shared" si="155"/>
        <v>0</v>
      </c>
      <c r="AA308" s="90">
        <v>0</v>
      </c>
      <c r="AB308" s="90">
        <f t="shared" si="178"/>
        <v>0</v>
      </c>
      <c r="AC308" s="90">
        <v>0</v>
      </c>
      <c r="AD308" s="81"/>
      <c r="AE308" s="81"/>
      <c r="AF308" s="81"/>
    </row>
    <row r="309" spans="1:32" s="82" customFormat="1" hidden="1" x14ac:dyDescent="0.2">
      <c r="A309" s="92" t="s">
        <v>513</v>
      </c>
      <c r="B309" s="126"/>
      <c r="C309" s="89"/>
      <c r="D309" s="89"/>
      <c r="E309" s="89" t="s">
        <v>196</v>
      </c>
      <c r="F309" s="89"/>
      <c r="G309" s="89" t="s">
        <v>342</v>
      </c>
      <c r="H309" s="84"/>
      <c r="I309" s="84"/>
      <c r="J309" s="84"/>
      <c r="K309" s="84"/>
      <c r="L309" s="84"/>
      <c r="M309" s="84"/>
      <c r="N309" s="84"/>
      <c r="O309" s="84"/>
      <c r="P309" s="90"/>
      <c r="Q309" s="84">
        <f>R309+S309+T309+U309+V309</f>
        <v>0</v>
      </c>
      <c r="R309" s="84"/>
      <c r="S309" s="84"/>
      <c r="T309" s="84"/>
      <c r="U309" s="84">
        <v>0</v>
      </c>
      <c r="V309" s="84"/>
      <c r="W309" s="84"/>
      <c r="X309" s="84">
        <f>P309+Q309</f>
        <v>0</v>
      </c>
      <c r="Y309" s="84"/>
      <c r="Z309" s="84">
        <f t="shared" si="155"/>
        <v>0</v>
      </c>
      <c r="AA309" s="90"/>
      <c r="AB309" s="90">
        <f t="shared" si="178"/>
        <v>0</v>
      </c>
      <c r="AC309" s="90"/>
      <c r="AD309" s="81"/>
      <c r="AE309" s="81"/>
      <c r="AF309" s="81"/>
    </row>
    <row r="310" spans="1:32" s="109" customFormat="1" ht="25.5" x14ac:dyDescent="0.2">
      <c r="A310" s="112" t="s">
        <v>514</v>
      </c>
      <c r="B310" s="166" t="s">
        <v>289</v>
      </c>
      <c r="C310" s="104" t="s">
        <v>506</v>
      </c>
      <c r="D310" s="104" t="s">
        <v>507</v>
      </c>
      <c r="E310" s="104" t="s">
        <v>196</v>
      </c>
      <c r="F310" s="104" t="s">
        <v>246</v>
      </c>
      <c r="G310" s="104" t="s">
        <v>252</v>
      </c>
      <c r="H310" s="105"/>
      <c r="I310" s="105"/>
      <c r="J310" s="105"/>
      <c r="K310" s="105"/>
      <c r="L310" s="105"/>
      <c r="M310" s="105"/>
      <c r="N310" s="105"/>
      <c r="O310" s="105"/>
      <c r="P310" s="106">
        <f>434455.54</f>
        <v>434455.54</v>
      </c>
      <c r="Q310" s="105">
        <f>R310+S310+T310+U310+V310</f>
        <v>0</v>
      </c>
      <c r="R310" s="105">
        <v>0</v>
      </c>
      <c r="S310" s="105"/>
      <c r="T310" s="105"/>
      <c r="U310" s="105">
        <v>0</v>
      </c>
      <c r="V310" s="105"/>
      <c r="W310" s="105"/>
      <c r="X310" s="105">
        <f>P310+Q310</f>
        <v>434455.54</v>
      </c>
      <c r="Y310" s="105"/>
      <c r="Z310" s="105">
        <f t="shared" si="155"/>
        <v>0</v>
      </c>
      <c r="AA310" s="106">
        <f>434455.54</f>
        <v>434455.54</v>
      </c>
      <c r="AB310" s="90">
        <f t="shared" si="178"/>
        <v>106651.18</v>
      </c>
      <c r="AC310" s="106">
        <f>434455.54+106651.18</f>
        <v>541106.72</v>
      </c>
      <c r="AD310" s="108"/>
      <c r="AE310" s="108"/>
      <c r="AF310" s="108"/>
    </row>
    <row r="311" spans="1:32" s="99" customFormat="1" x14ac:dyDescent="0.2">
      <c r="A311" s="76" t="s">
        <v>255</v>
      </c>
      <c r="B311" s="72" t="s">
        <v>289</v>
      </c>
      <c r="C311" s="89" t="s">
        <v>506</v>
      </c>
      <c r="D311" s="89" t="s">
        <v>507</v>
      </c>
      <c r="E311" s="89" t="s">
        <v>168</v>
      </c>
      <c r="F311" s="89" t="s">
        <v>187</v>
      </c>
      <c r="G311" s="89"/>
      <c r="H311" s="84">
        <f t="shared" ref="H311:O311" si="184">SUM(H312:H317)</f>
        <v>99000</v>
      </c>
      <c r="I311" s="84">
        <f t="shared" si="184"/>
        <v>5600</v>
      </c>
      <c r="J311" s="84">
        <f t="shared" si="184"/>
        <v>5600</v>
      </c>
      <c r="K311" s="84">
        <f t="shared" si="184"/>
        <v>0</v>
      </c>
      <c r="L311" s="84">
        <f t="shared" si="184"/>
        <v>0</v>
      </c>
      <c r="M311" s="84">
        <f t="shared" si="184"/>
        <v>0</v>
      </c>
      <c r="N311" s="84">
        <f t="shared" si="184"/>
        <v>104600</v>
      </c>
      <c r="O311" s="84">
        <f t="shared" si="184"/>
        <v>79200</v>
      </c>
      <c r="P311" s="90">
        <f t="shared" ref="P311:X311" si="185">SUM(P312:P319)</f>
        <v>1736204.05</v>
      </c>
      <c r="Q311" s="80">
        <f t="shared" si="185"/>
        <v>0</v>
      </c>
      <c r="R311" s="80">
        <f t="shared" si="185"/>
        <v>0</v>
      </c>
      <c r="S311" s="80">
        <f t="shared" si="185"/>
        <v>0</v>
      </c>
      <c r="T311" s="80">
        <f t="shared" si="185"/>
        <v>0</v>
      </c>
      <c r="U311" s="80">
        <f t="shared" si="185"/>
        <v>0</v>
      </c>
      <c r="V311" s="80">
        <f t="shared" si="185"/>
        <v>0</v>
      </c>
      <c r="W311" s="80">
        <f t="shared" si="185"/>
        <v>0</v>
      </c>
      <c r="X311" s="80">
        <f t="shared" si="185"/>
        <v>1736204.05</v>
      </c>
      <c r="Y311" s="79"/>
      <c r="Z311" s="84">
        <f t="shared" si="155"/>
        <v>-2614.1599999999162</v>
      </c>
      <c r="AA311" s="80">
        <f>SUM(AA312:AA319)</f>
        <v>1733589.8900000001</v>
      </c>
      <c r="AB311" s="80">
        <f t="shared" si="178"/>
        <v>270000</v>
      </c>
      <c r="AC311" s="80">
        <f>SUM(AC312:AC319)</f>
        <v>2003589.8900000001</v>
      </c>
      <c r="AD311" s="98"/>
      <c r="AE311" s="98"/>
      <c r="AF311" s="98"/>
    </row>
    <row r="312" spans="1:32" s="82" customFormat="1" ht="25.5" hidden="1" x14ac:dyDescent="0.2">
      <c r="A312" s="91" t="s">
        <v>515</v>
      </c>
      <c r="B312" s="72" t="s">
        <v>289</v>
      </c>
      <c r="C312" s="89" t="s">
        <v>506</v>
      </c>
      <c r="D312" s="89" t="s">
        <v>507</v>
      </c>
      <c r="E312" s="89" t="s">
        <v>219</v>
      </c>
      <c r="F312" s="89"/>
      <c r="G312" s="89" t="s">
        <v>188</v>
      </c>
      <c r="H312" s="84">
        <v>35000</v>
      </c>
      <c r="I312" s="84">
        <f>SUM(J312:M312)</f>
        <v>0</v>
      </c>
      <c r="J312" s="84"/>
      <c r="K312" s="84"/>
      <c r="L312" s="84"/>
      <c r="M312" s="84"/>
      <c r="N312" s="84">
        <f>H312+I312</f>
        <v>35000</v>
      </c>
      <c r="O312" s="84">
        <f>35000*80%</f>
        <v>28000</v>
      </c>
      <c r="P312" s="90">
        <v>0</v>
      </c>
      <c r="Q312" s="84"/>
      <c r="R312" s="84"/>
      <c r="S312" s="84"/>
      <c r="T312" s="84"/>
      <c r="U312" s="84"/>
      <c r="V312" s="84"/>
      <c r="W312" s="84"/>
      <c r="X312" s="84"/>
      <c r="Y312" s="84"/>
      <c r="Z312" s="84">
        <f t="shared" si="155"/>
        <v>0</v>
      </c>
      <c r="AA312" s="90">
        <v>0</v>
      </c>
      <c r="AB312" s="90">
        <f t="shared" si="178"/>
        <v>0</v>
      </c>
      <c r="AC312" s="90">
        <v>0</v>
      </c>
      <c r="AD312" s="81"/>
      <c r="AE312" s="81"/>
      <c r="AF312" s="81"/>
    </row>
    <row r="313" spans="1:32" s="109" customFormat="1" ht="25.5" x14ac:dyDescent="0.2">
      <c r="A313" s="167" t="s">
        <v>516</v>
      </c>
      <c r="B313" s="168" t="s">
        <v>289</v>
      </c>
      <c r="C313" s="104" t="s">
        <v>506</v>
      </c>
      <c r="D313" s="104" t="s">
        <v>507</v>
      </c>
      <c r="E313" s="104" t="s">
        <v>196</v>
      </c>
      <c r="F313" s="104" t="s">
        <v>187</v>
      </c>
      <c r="G313" s="104" t="s">
        <v>353</v>
      </c>
      <c r="H313" s="105"/>
      <c r="I313" s="105"/>
      <c r="J313" s="105"/>
      <c r="K313" s="105"/>
      <c r="L313" s="105"/>
      <c r="M313" s="105"/>
      <c r="N313" s="105"/>
      <c r="O313" s="105"/>
      <c r="P313" s="106">
        <f>1908402.05-256078</f>
        <v>1652324.05</v>
      </c>
      <c r="Q313" s="105">
        <f t="shared" ref="Q313:Q319" si="186">R313+S313+T313+U313+V313</f>
        <v>0</v>
      </c>
      <c r="R313" s="105">
        <v>0</v>
      </c>
      <c r="S313" s="105"/>
      <c r="T313" s="105"/>
      <c r="U313" s="105">
        <v>0</v>
      </c>
      <c r="V313" s="105"/>
      <c r="W313" s="105"/>
      <c r="X313" s="105">
        <f t="shared" ref="X313:X319" si="187">P313+Q313</f>
        <v>1652324.05</v>
      </c>
      <c r="Y313" s="105"/>
      <c r="Z313" s="105">
        <f t="shared" si="155"/>
        <v>0</v>
      </c>
      <c r="AA313" s="106">
        <f>1908402.05-256078</f>
        <v>1652324.05</v>
      </c>
      <c r="AB313" s="90">
        <f t="shared" si="178"/>
        <v>270000</v>
      </c>
      <c r="AC313" s="106">
        <f>1908402.05-256078+270000</f>
        <v>1922324.05</v>
      </c>
      <c r="AD313" s="108"/>
      <c r="AE313" s="108"/>
      <c r="AF313" s="108"/>
    </row>
    <row r="314" spans="1:32" s="109" customFormat="1" x14ac:dyDescent="0.2">
      <c r="A314" s="112" t="s">
        <v>257</v>
      </c>
      <c r="B314" s="168" t="s">
        <v>289</v>
      </c>
      <c r="C314" s="104" t="s">
        <v>506</v>
      </c>
      <c r="D314" s="104" t="s">
        <v>507</v>
      </c>
      <c r="E314" s="104" t="s">
        <v>207</v>
      </c>
      <c r="F314" s="104" t="s">
        <v>187</v>
      </c>
      <c r="G314" s="104"/>
      <c r="H314" s="105">
        <v>30000</v>
      </c>
      <c r="I314" s="105">
        <f>SUM(J314:M314)</f>
        <v>5600</v>
      </c>
      <c r="J314" s="105">
        <v>5600</v>
      </c>
      <c r="K314" s="105"/>
      <c r="L314" s="105"/>
      <c r="M314" s="105"/>
      <c r="N314" s="105">
        <f>H314+I314</f>
        <v>35600</v>
      </c>
      <c r="O314" s="105">
        <f>30000*80%</f>
        <v>24000</v>
      </c>
      <c r="P314" s="106">
        <f>40200+43680</f>
        <v>83880</v>
      </c>
      <c r="Q314" s="105">
        <f t="shared" si="186"/>
        <v>0</v>
      </c>
      <c r="R314" s="105">
        <v>0</v>
      </c>
      <c r="S314" s="105"/>
      <c r="T314" s="105"/>
      <c r="U314" s="105">
        <v>0</v>
      </c>
      <c r="V314" s="105"/>
      <c r="W314" s="105"/>
      <c r="X314" s="105">
        <f t="shared" si="187"/>
        <v>83880</v>
      </c>
      <c r="Y314" s="105" t="s">
        <v>227</v>
      </c>
      <c r="Z314" s="105">
        <f t="shared" si="155"/>
        <v>-2614.1600000000035</v>
      </c>
      <c r="AA314" s="106">
        <v>81265.84</v>
      </c>
      <c r="AB314" s="90">
        <f t="shared" si="178"/>
        <v>0</v>
      </c>
      <c r="AC314" s="106">
        <v>81265.84</v>
      </c>
      <c r="AD314" s="108"/>
      <c r="AE314" s="108"/>
      <c r="AF314" s="108"/>
    </row>
    <row r="315" spans="1:32" s="82" customFormat="1" hidden="1" x14ac:dyDescent="0.2">
      <c r="A315" s="91" t="s">
        <v>517</v>
      </c>
      <c r="B315" s="72"/>
      <c r="C315" s="89"/>
      <c r="D315" s="89"/>
      <c r="E315" s="89" t="s">
        <v>196</v>
      </c>
      <c r="F315" s="89"/>
      <c r="G315" s="89" t="s">
        <v>265</v>
      </c>
      <c r="H315" s="84">
        <v>0</v>
      </c>
      <c r="I315" s="84">
        <f>SUM(J315:M315)</f>
        <v>0</v>
      </c>
      <c r="J315" s="84"/>
      <c r="K315" s="84"/>
      <c r="L315" s="84"/>
      <c r="M315" s="84"/>
      <c r="N315" s="84">
        <f>H315+I315</f>
        <v>0</v>
      </c>
      <c r="O315" s="84">
        <v>0</v>
      </c>
      <c r="P315" s="90">
        <v>0</v>
      </c>
      <c r="Q315" s="84">
        <f t="shared" si="186"/>
        <v>0</v>
      </c>
      <c r="R315" s="84"/>
      <c r="S315" s="84"/>
      <c r="T315" s="84"/>
      <c r="U315" s="84"/>
      <c r="V315" s="84"/>
      <c r="W315" s="84"/>
      <c r="X315" s="84">
        <f t="shared" si="187"/>
        <v>0</v>
      </c>
      <c r="Y315" s="84"/>
      <c r="Z315" s="84">
        <f t="shared" si="155"/>
        <v>0</v>
      </c>
      <c r="AA315" s="90">
        <v>0</v>
      </c>
      <c r="AB315" s="90"/>
      <c r="AC315" s="90">
        <v>0</v>
      </c>
      <c r="AD315" s="81"/>
      <c r="AE315" s="81"/>
      <c r="AF315" s="81"/>
    </row>
    <row r="316" spans="1:32" s="82" customFormat="1" hidden="1" x14ac:dyDescent="0.2">
      <c r="A316" s="91" t="s">
        <v>262</v>
      </c>
      <c r="B316" s="101"/>
      <c r="C316" s="89"/>
      <c r="D316" s="89"/>
      <c r="E316" s="89" t="s">
        <v>196</v>
      </c>
      <c r="F316" s="89"/>
      <c r="G316" s="89" t="s">
        <v>263</v>
      </c>
      <c r="H316" s="84">
        <v>34000</v>
      </c>
      <c r="I316" s="84">
        <f>SUM(J316:M316)</f>
        <v>0</v>
      </c>
      <c r="J316" s="84">
        <v>0</v>
      </c>
      <c r="K316" s="84">
        <v>0</v>
      </c>
      <c r="L316" s="84">
        <v>0</v>
      </c>
      <c r="M316" s="84">
        <v>0</v>
      </c>
      <c r="N316" s="84">
        <f>H316+I316</f>
        <v>34000</v>
      </c>
      <c r="O316" s="84">
        <f>34000*80%</f>
        <v>27200</v>
      </c>
      <c r="P316" s="90">
        <v>0</v>
      </c>
      <c r="Q316" s="84">
        <f t="shared" si="186"/>
        <v>0</v>
      </c>
      <c r="R316" s="84"/>
      <c r="S316" s="84"/>
      <c r="T316" s="84"/>
      <c r="U316" s="84"/>
      <c r="V316" s="84"/>
      <c r="W316" s="84"/>
      <c r="X316" s="84">
        <f t="shared" si="187"/>
        <v>0</v>
      </c>
      <c r="Y316" s="84"/>
      <c r="Z316" s="84">
        <f t="shared" si="155"/>
        <v>0</v>
      </c>
      <c r="AA316" s="90">
        <v>0</v>
      </c>
      <c r="AB316" s="90"/>
      <c r="AC316" s="90">
        <v>0</v>
      </c>
      <c r="AD316" s="81"/>
      <c r="AE316" s="81"/>
      <c r="AF316" s="81"/>
    </row>
    <row r="317" spans="1:32" s="82" customFormat="1" hidden="1" x14ac:dyDescent="0.2">
      <c r="A317" s="91" t="s">
        <v>518</v>
      </c>
      <c r="B317" s="72"/>
      <c r="C317" s="89"/>
      <c r="D317" s="89"/>
      <c r="E317" s="89" t="s">
        <v>196</v>
      </c>
      <c r="F317" s="89"/>
      <c r="G317" s="89" t="s">
        <v>268</v>
      </c>
      <c r="H317" s="84">
        <v>0</v>
      </c>
      <c r="I317" s="84">
        <f>SUM(J317:M317)</f>
        <v>0</v>
      </c>
      <c r="J317" s="84"/>
      <c r="K317" s="84"/>
      <c r="L317" s="84"/>
      <c r="M317" s="84"/>
      <c r="N317" s="84">
        <f>H317+I317</f>
        <v>0</v>
      </c>
      <c r="O317" s="84">
        <v>0</v>
      </c>
      <c r="P317" s="90">
        <v>0</v>
      </c>
      <c r="Q317" s="84">
        <f t="shared" si="186"/>
        <v>0</v>
      </c>
      <c r="R317" s="84"/>
      <c r="S317" s="84"/>
      <c r="T317" s="84"/>
      <c r="U317" s="84"/>
      <c r="V317" s="84"/>
      <c r="W317" s="84"/>
      <c r="X317" s="84">
        <f t="shared" si="187"/>
        <v>0</v>
      </c>
      <c r="Y317" s="84"/>
      <c r="Z317" s="84">
        <f t="shared" si="155"/>
        <v>0</v>
      </c>
      <c r="AA317" s="90">
        <v>0</v>
      </c>
      <c r="AB317" s="90"/>
      <c r="AC317" s="90">
        <v>0</v>
      </c>
      <c r="AD317" s="81"/>
      <c r="AE317" s="81"/>
      <c r="AF317" s="81"/>
    </row>
    <row r="318" spans="1:32" s="82" customFormat="1" hidden="1" x14ac:dyDescent="0.2">
      <c r="A318" s="91" t="s">
        <v>354</v>
      </c>
      <c r="B318" s="72"/>
      <c r="C318" s="89"/>
      <c r="D318" s="89"/>
      <c r="E318" s="89" t="s">
        <v>196</v>
      </c>
      <c r="F318" s="89"/>
      <c r="G318" s="89" t="s">
        <v>268</v>
      </c>
      <c r="H318" s="84"/>
      <c r="I318" s="84"/>
      <c r="J318" s="84"/>
      <c r="K318" s="84"/>
      <c r="L318" s="84"/>
      <c r="M318" s="84"/>
      <c r="N318" s="84"/>
      <c r="O318" s="84"/>
      <c r="P318" s="90">
        <v>0</v>
      </c>
      <c r="Q318" s="84">
        <f t="shared" si="186"/>
        <v>0</v>
      </c>
      <c r="R318" s="84">
        <v>0</v>
      </c>
      <c r="S318" s="84"/>
      <c r="T318" s="84"/>
      <c r="U318" s="84"/>
      <c r="V318" s="84"/>
      <c r="W318" s="84"/>
      <c r="X318" s="84">
        <f t="shared" si="187"/>
        <v>0</v>
      </c>
      <c r="Y318" s="84"/>
      <c r="Z318" s="84">
        <f t="shared" si="155"/>
        <v>0</v>
      </c>
      <c r="AA318" s="90">
        <v>0</v>
      </c>
      <c r="AB318" s="90"/>
      <c r="AC318" s="90">
        <v>0</v>
      </c>
      <c r="AD318" s="81"/>
      <c r="AE318" s="81"/>
      <c r="AF318" s="81"/>
    </row>
    <row r="319" spans="1:32" s="82" customFormat="1" hidden="1" x14ac:dyDescent="0.2">
      <c r="A319" s="91" t="s">
        <v>418</v>
      </c>
      <c r="B319" s="72"/>
      <c r="C319" s="89"/>
      <c r="D319" s="89"/>
      <c r="E319" s="89" t="s">
        <v>196</v>
      </c>
      <c r="F319" s="89" t="s">
        <v>187</v>
      </c>
      <c r="G319" s="89" t="s">
        <v>268</v>
      </c>
      <c r="H319" s="84"/>
      <c r="I319" s="84"/>
      <c r="J319" s="84"/>
      <c r="K319" s="84"/>
      <c r="L319" s="84"/>
      <c r="M319" s="84"/>
      <c r="N319" s="84"/>
      <c r="O319" s="84"/>
      <c r="P319" s="90">
        <v>0</v>
      </c>
      <c r="Q319" s="84">
        <f t="shared" si="186"/>
        <v>0</v>
      </c>
      <c r="R319" s="84">
        <v>0</v>
      </c>
      <c r="S319" s="84"/>
      <c r="T319" s="84"/>
      <c r="U319" s="84">
        <v>0</v>
      </c>
      <c r="V319" s="84"/>
      <c r="W319" s="84"/>
      <c r="X319" s="84">
        <f t="shared" si="187"/>
        <v>0</v>
      </c>
      <c r="Y319" s="84"/>
      <c r="Z319" s="84">
        <f t="shared" si="155"/>
        <v>0</v>
      </c>
      <c r="AA319" s="90">
        <v>0</v>
      </c>
      <c r="AB319" s="90"/>
      <c r="AC319" s="90">
        <v>0</v>
      </c>
      <c r="AD319" s="81"/>
      <c r="AE319" s="81"/>
      <c r="AF319" s="81"/>
    </row>
    <row r="320" spans="1:32" s="82" customFormat="1" hidden="1" x14ac:dyDescent="0.2">
      <c r="A320" s="76" t="s">
        <v>275</v>
      </c>
      <c r="B320" s="124" t="s">
        <v>289</v>
      </c>
      <c r="C320" s="78" t="s">
        <v>506</v>
      </c>
      <c r="D320" s="78" t="s">
        <v>507</v>
      </c>
      <c r="E320" s="78" t="s">
        <v>168</v>
      </c>
      <c r="F320" s="78" t="s">
        <v>276</v>
      </c>
      <c r="G320" s="78"/>
      <c r="H320" s="84">
        <f t="shared" ref="H320:O320" si="188">SUM(H321:H323)</f>
        <v>2500</v>
      </c>
      <c r="I320" s="84">
        <f t="shared" si="188"/>
        <v>0</v>
      </c>
      <c r="J320" s="84">
        <f t="shared" si="188"/>
        <v>0</v>
      </c>
      <c r="K320" s="84">
        <f t="shared" si="188"/>
        <v>0</v>
      </c>
      <c r="L320" s="84">
        <f t="shared" si="188"/>
        <v>0</v>
      </c>
      <c r="M320" s="84">
        <f t="shared" si="188"/>
        <v>0</v>
      </c>
      <c r="N320" s="84">
        <f t="shared" si="188"/>
        <v>2500</v>
      </c>
      <c r="O320" s="84">
        <f t="shared" si="188"/>
        <v>2500</v>
      </c>
      <c r="P320" s="80">
        <f t="shared" ref="P320:X320" si="189">SUM(P321:P324)</f>
        <v>0</v>
      </c>
      <c r="Q320" s="80">
        <f t="shared" si="189"/>
        <v>0</v>
      </c>
      <c r="R320" s="80">
        <f t="shared" si="189"/>
        <v>0</v>
      </c>
      <c r="S320" s="80">
        <f t="shared" si="189"/>
        <v>0</v>
      </c>
      <c r="T320" s="80">
        <f t="shared" si="189"/>
        <v>0</v>
      </c>
      <c r="U320" s="80">
        <f t="shared" si="189"/>
        <v>0</v>
      </c>
      <c r="V320" s="80">
        <f t="shared" si="189"/>
        <v>0</v>
      </c>
      <c r="W320" s="80">
        <f t="shared" si="189"/>
        <v>0</v>
      </c>
      <c r="X320" s="80">
        <f t="shared" si="189"/>
        <v>0</v>
      </c>
      <c r="Y320" s="84"/>
      <c r="Z320" s="84">
        <f t="shared" si="155"/>
        <v>0</v>
      </c>
      <c r="AA320" s="80">
        <f>SUM(AA321:AA324)</f>
        <v>0</v>
      </c>
      <c r="AB320" s="80"/>
      <c r="AC320" s="80">
        <f>SUM(AC321:AC324)</f>
        <v>0</v>
      </c>
      <c r="AD320" s="81"/>
      <c r="AE320" s="81"/>
      <c r="AF320" s="81"/>
    </row>
    <row r="321" spans="1:32" s="82" customFormat="1" hidden="1" x14ac:dyDescent="0.2">
      <c r="A321" s="87" t="s">
        <v>519</v>
      </c>
      <c r="B321" s="72"/>
      <c r="C321" s="89"/>
      <c r="D321" s="89"/>
      <c r="E321" s="89" t="s">
        <v>278</v>
      </c>
      <c r="F321" s="89" t="s">
        <v>357</v>
      </c>
      <c r="G321" s="89" t="s">
        <v>279</v>
      </c>
      <c r="H321" s="84">
        <v>2500</v>
      </c>
      <c r="I321" s="84">
        <f>SUM(J321:M321)</f>
        <v>0</v>
      </c>
      <c r="J321" s="84">
        <v>0</v>
      </c>
      <c r="K321" s="84">
        <v>0</v>
      </c>
      <c r="L321" s="84">
        <v>0</v>
      </c>
      <c r="M321" s="84">
        <v>0</v>
      </c>
      <c r="N321" s="84">
        <f>H321+I321</f>
        <v>2500</v>
      </c>
      <c r="O321" s="84">
        <v>2500</v>
      </c>
      <c r="P321" s="90">
        <v>0</v>
      </c>
      <c r="Q321" s="84">
        <f>R321+S321+T321+U321+V321</f>
        <v>0</v>
      </c>
      <c r="R321" s="84">
        <v>0</v>
      </c>
      <c r="S321" s="84"/>
      <c r="T321" s="84"/>
      <c r="U321" s="84"/>
      <c r="V321" s="84"/>
      <c r="W321" s="84"/>
      <c r="X321" s="84">
        <f>P321+Q321</f>
        <v>0</v>
      </c>
      <c r="Y321" s="84"/>
      <c r="Z321" s="84">
        <f t="shared" si="155"/>
        <v>0</v>
      </c>
      <c r="AA321" s="90">
        <v>0</v>
      </c>
      <c r="AB321" s="90"/>
      <c r="AC321" s="90">
        <v>0</v>
      </c>
      <c r="AD321" s="81"/>
      <c r="AE321" s="81"/>
      <c r="AF321" s="81"/>
    </row>
    <row r="322" spans="1:32" s="82" customFormat="1" ht="25.5" hidden="1" x14ac:dyDescent="0.2">
      <c r="A322" s="87" t="s">
        <v>286</v>
      </c>
      <c r="B322" s="71"/>
      <c r="C322" s="89"/>
      <c r="D322" s="89"/>
      <c r="E322" s="89" t="s">
        <v>196</v>
      </c>
      <c r="F322" s="89"/>
      <c r="G322" s="89" t="s">
        <v>282</v>
      </c>
      <c r="H322" s="84">
        <v>0</v>
      </c>
      <c r="I322" s="84">
        <f>SUM(J322:M322)</f>
        <v>0</v>
      </c>
      <c r="J322" s="84">
        <v>0</v>
      </c>
      <c r="K322" s="84">
        <v>0</v>
      </c>
      <c r="L322" s="84">
        <v>0</v>
      </c>
      <c r="M322" s="84">
        <v>0</v>
      </c>
      <c r="N322" s="84">
        <f>H322+I322</f>
        <v>0</v>
      </c>
      <c r="O322" s="84">
        <v>0</v>
      </c>
      <c r="P322" s="90">
        <v>0</v>
      </c>
      <c r="Q322" s="84">
        <f>R322+S322+T322+U322+V322</f>
        <v>0</v>
      </c>
      <c r="R322" s="84"/>
      <c r="S322" s="84"/>
      <c r="T322" s="84"/>
      <c r="U322" s="84"/>
      <c r="V322" s="84"/>
      <c r="W322" s="84"/>
      <c r="X322" s="84">
        <f>P322+Q322</f>
        <v>0</v>
      </c>
      <c r="Y322" s="84"/>
      <c r="Z322" s="84">
        <f t="shared" si="155"/>
        <v>0</v>
      </c>
      <c r="AA322" s="90">
        <v>0</v>
      </c>
      <c r="AB322" s="90"/>
      <c r="AC322" s="90">
        <v>0</v>
      </c>
      <c r="AD322" s="81"/>
      <c r="AE322" s="81"/>
      <c r="AF322" s="81"/>
    </row>
    <row r="323" spans="1:32" s="82" customFormat="1" ht="25.5" hidden="1" x14ac:dyDescent="0.2">
      <c r="A323" s="87" t="s">
        <v>286</v>
      </c>
      <c r="B323" s="71"/>
      <c r="C323" s="89"/>
      <c r="D323" s="89"/>
      <c r="E323" s="89" t="s">
        <v>284</v>
      </c>
      <c r="F323" s="89" t="s">
        <v>385</v>
      </c>
      <c r="G323" s="89" t="s">
        <v>282</v>
      </c>
      <c r="H323" s="84">
        <v>0</v>
      </c>
      <c r="I323" s="84">
        <f>SUM(J323:M323)</f>
        <v>0</v>
      </c>
      <c r="J323" s="84">
        <v>0</v>
      </c>
      <c r="K323" s="84">
        <v>0</v>
      </c>
      <c r="L323" s="84">
        <v>0</v>
      </c>
      <c r="M323" s="84">
        <v>0</v>
      </c>
      <c r="N323" s="84">
        <f>H323+I323</f>
        <v>0</v>
      </c>
      <c r="O323" s="84">
        <v>0</v>
      </c>
      <c r="P323" s="90">
        <v>0</v>
      </c>
      <c r="Q323" s="84">
        <f>R323+S323+T323+U323+V323</f>
        <v>0</v>
      </c>
      <c r="R323" s="84">
        <v>0</v>
      </c>
      <c r="S323" s="84"/>
      <c r="T323" s="84"/>
      <c r="U323" s="84"/>
      <c r="V323" s="84"/>
      <c r="W323" s="84"/>
      <c r="X323" s="84">
        <f>P323+Q323</f>
        <v>0</v>
      </c>
      <c r="Y323" s="84"/>
      <c r="Z323" s="84">
        <f t="shared" si="155"/>
        <v>0</v>
      </c>
      <c r="AA323" s="90">
        <v>0</v>
      </c>
      <c r="AB323" s="90"/>
      <c r="AC323" s="90">
        <v>0</v>
      </c>
      <c r="AD323" s="81"/>
      <c r="AE323" s="81"/>
      <c r="AF323" s="81"/>
    </row>
    <row r="324" spans="1:32" s="82" customFormat="1" ht="25.5" hidden="1" x14ac:dyDescent="0.2">
      <c r="A324" s="87" t="s">
        <v>286</v>
      </c>
      <c r="B324" s="71"/>
      <c r="C324" s="89"/>
      <c r="D324" s="89"/>
      <c r="E324" s="89" t="s">
        <v>284</v>
      </c>
      <c r="F324" s="89" t="s">
        <v>385</v>
      </c>
      <c r="G324" s="89" t="s">
        <v>282</v>
      </c>
      <c r="H324" s="84"/>
      <c r="I324" s="84"/>
      <c r="J324" s="84"/>
      <c r="K324" s="84"/>
      <c r="L324" s="84"/>
      <c r="M324" s="84"/>
      <c r="N324" s="84"/>
      <c r="O324" s="84"/>
      <c r="P324" s="90">
        <v>0</v>
      </c>
      <c r="Q324" s="84">
        <f>R324+S324+T324+U324+V324</f>
        <v>0</v>
      </c>
      <c r="R324" s="84">
        <v>0</v>
      </c>
      <c r="S324" s="84"/>
      <c r="T324" s="84"/>
      <c r="U324" s="84"/>
      <c r="V324" s="84"/>
      <c r="W324" s="84"/>
      <c r="X324" s="84">
        <f>P324+Q324</f>
        <v>0</v>
      </c>
      <c r="Y324" s="84"/>
      <c r="Z324" s="84">
        <f t="shared" si="155"/>
        <v>0</v>
      </c>
      <c r="AA324" s="90">
        <v>0</v>
      </c>
      <c r="AB324" s="90"/>
      <c r="AC324" s="90">
        <v>0</v>
      </c>
      <c r="AD324" s="81"/>
      <c r="AE324" s="81"/>
      <c r="AF324" s="81"/>
    </row>
    <row r="325" spans="1:32" s="82" customFormat="1" x14ac:dyDescent="0.2">
      <c r="A325" s="76" t="s">
        <v>194</v>
      </c>
      <c r="B325" s="128" t="s">
        <v>289</v>
      </c>
      <c r="C325" s="78" t="s">
        <v>506</v>
      </c>
      <c r="D325" s="78" t="s">
        <v>507</v>
      </c>
      <c r="E325" s="78" t="s">
        <v>196</v>
      </c>
      <c r="F325" s="78" t="s">
        <v>197</v>
      </c>
      <c r="G325" s="78"/>
      <c r="H325" s="79">
        <f t="shared" ref="H325:V325" si="190">H326+H329</f>
        <v>60000</v>
      </c>
      <c r="I325" s="79">
        <f t="shared" si="190"/>
        <v>0</v>
      </c>
      <c r="J325" s="79">
        <f t="shared" si="190"/>
        <v>0</v>
      </c>
      <c r="K325" s="79">
        <f t="shared" si="190"/>
        <v>0</v>
      </c>
      <c r="L325" s="79">
        <f t="shared" si="190"/>
        <v>0</v>
      </c>
      <c r="M325" s="79">
        <f t="shared" si="190"/>
        <v>0</v>
      </c>
      <c r="N325" s="79">
        <f t="shared" si="190"/>
        <v>60000</v>
      </c>
      <c r="O325" s="79">
        <f t="shared" si="190"/>
        <v>48000</v>
      </c>
      <c r="P325" s="80">
        <f t="shared" si="190"/>
        <v>20000</v>
      </c>
      <c r="Q325" s="80">
        <f t="shared" si="190"/>
        <v>0</v>
      </c>
      <c r="R325" s="80">
        <f t="shared" si="190"/>
        <v>0</v>
      </c>
      <c r="S325" s="80">
        <f t="shared" si="190"/>
        <v>0</v>
      </c>
      <c r="T325" s="80">
        <f t="shared" si="190"/>
        <v>0</v>
      </c>
      <c r="U325" s="80">
        <f t="shared" si="190"/>
        <v>0</v>
      </c>
      <c r="V325" s="80">
        <f t="shared" si="190"/>
        <v>0</v>
      </c>
      <c r="W325" s="80"/>
      <c r="X325" s="80">
        <f>X326+X329</f>
        <v>20000</v>
      </c>
      <c r="Y325" s="84"/>
      <c r="Z325" s="84">
        <f t="shared" si="155"/>
        <v>0</v>
      </c>
      <c r="AA325" s="80">
        <f>AA326+AA329</f>
        <v>20000</v>
      </c>
      <c r="AB325" s="80">
        <f t="shared" ref="AB325" si="191">AB326+AB329</f>
        <v>0</v>
      </c>
      <c r="AC325" s="80">
        <f>AC326+AC329</f>
        <v>20000</v>
      </c>
      <c r="AD325" s="81"/>
      <c r="AE325" s="81"/>
      <c r="AF325" s="81"/>
    </row>
    <row r="326" spans="1:32" s="82" customFormat="1" hidden="1" x14ac:dyDescent="0.2">
      <c r="A326" s="87" t="s">
        <v>198</v>
      </c>
      <c r="B326" s="72" t="s">
        <v>289</v>
      </c>
      <c r="C326" s="89" t="s">
        <v>506</v>
      </c>
      <c r="D326" s="89" t="s">
        <v>507</v>
      </c>
      <c r="E326" s="89" t="s">
        <v>168</v>
      </c>
      <c r="F326" s="89" t="s">
        <v>199</v>
      </c>
      <c r="G326" s="89"/>
      <c r="H326" s="84">
        <f>SUM(H327:H328)</f>
        <v>0</v>
      </c>
      <c r="I326" s="84">
        <f t="shared" ref="I326:N326" si="192">I327</f>
        <v>0</v>
      </c>
      <c r="J326" s="84">
        <f t="shared" si="192"/>
        <v>0</v>
      </c>
      <c r="K326" s="84">
        <f t="shared" si="192"/>
        <v>0</v>
      </c>
      <c r="L326" s="84">
        <f t="shared" si="192"/>
        <v>0</v>
      </c>
      <c r="M326" s="84">
        <f t="shared" si="192"/>
        <v>0</v>
      </c>
      <c r="N326" s="84">
        <f t="shared" si="192"/>
        <v>0</v>
      </c>
      <c r="O326" s="84">
        <f>SUM(O327:O328)</f>
        <v>0</v>
      </c>
      <c r="P326" s="90">
        <f>SUM(P327:P328)</f>
        <v>0</v>
      </c>
      <c r="Q326" s="84">
        <f>Q327+Q328</f>
        <v>0</v>
      </c>
      <c r="R326" s="84">
        <f>R327+R328</f>
        <v>0</v>
      </c>
      <c r="S326" s="84">
        <f>S327+S328</f>
        <v>0</v>
      </c>
      <c r="T326" s="84">
        <f>T327+T328</f>
        <v>0</v>
      </c>
      <c r="U326" s="84">
        <f>U327+U328</f>
        <v>0</v>
      </c>
      <c r="V326" s="84"/>
      <c r="W326" s="84"/>
      <c r="X326" s="84">
        <f>X327+X328</f>
        <v>0</v>
      </c>
      <c r="Y326" s="84"/>
      <c r="Z326" s="84">
        <f t="shared" si="155"/>
        <v>0</v>
      </c>
      <c r="AA326" s="90">
        <f>SUM(AA327:AA328)</f>
        <v>0</v>
      </c>
      <c r="AB326" s="90"/>
      <c r="AC326" s="90">
        <f>SUM(AC327:AC328)</f>
        <v>0</v>
      </c>
      <c r="AD326" s="81"/>
      <c r="AE326" s="81"/>
      <c r="AF326" s="81"/>
    </row>
    <row r="327" spans="1:32" s="82" customFormat="1" ht="38.25" hidden="1" x14ac:dyDescent="0.2">
      <c r="A327" s="92" t="s">
        <v>288</v>
      </c>
      <c r="B327" s="126"/>
      <c r="C327" s="89"/>
      <c r="D327" s="89"/>
      <c r="E327" s="89" t="s">
        <v>207</v>
      </c>
      <c r="F327" s="89"/>
      <c r="G327" s="89" t="s">
        <v>201</v>
      </c>
      <c r="H327" s="84">
        <v>0</v>
      </c>
      <c r="I327" s="84">
        <f>SUM(J327:M327)</f>
        <v>0</v>
      </c>
      <c r="J327" s="84"/>
      <c r="K327" s="84"/>
      <c r="L327" s="84"/>
      <c r="M327" s="84"/>
      <c r="N327" s="84">
        <f>H327+I327</f>
        <v>0</v>
      </c>
      <c r="O327" s="84">
        <v>0</v>
      </c>
      <c r="P327" s="90">
        <v>0</v>
      </c>
      <c r="Q327" s="84">
        <f>R327+S327+T327+U327</f>
        <v>0</v>
      </c>
      <c r="R327" s="84">
        <v>0</v>
      </c>
      <c r="S327" s="84"/>
      <c r="T327" s="84"/>
      <c r="U327" s="84"/>
      <c r="V327" s="84"/>
      <c r="W327" s="84"/>
      <c r="X327" s="84">
        <f>P327+Q327</f>
        <v>0</v>
      </c>
      <c r="Y327" s="84"/>
      <c r="Z327" s="84">
        <f t="shared" si="155"/>
        <v>0</v>
      </c>
      <c r="AA327" s="90">
        <v>0</v>
      </c>
      <c r="AB327" s="90"/>
      <c r="AC327" s="90">
        <v>0</v>
      </c>
      <c r="AD327" s="81"/>
      <c r="AE327" s="81"/>
      <c r="AF327" s="81"/>
    </row>
    <row r="328" spans="1:32" s="82" customFormat="1" ht="38.25" hidden="1" x14ac:dyDescent="0.2">
      <c r="A328" s="92" t="s">
        <v>288</v>
      </c>
      <c r="B328" s="126"/>
      <c r="C328" s="89"/>
      <c r="D328" s="89"/>
      <c r="E328" s="89" t="s">
        <v>196</v>
      </c>
      <c r="F328" s="89"/>
      <c r="G328" s="89" t="s">
        <v>201</v>
      </c>
      <c r="H328" s="84">
        <v>0</v>
      </c>
      <c r="I328" s="84"/>
      <c r="J328" s="84"/>
      <c r="K328" s="84"/>
      <c r="L328" s="84"/>
      <c r="M328" s="84"/>
      <c r="N328" s="84"/>
      <c r="O328" s="84">
        <v>0</v>
      </c>
      <c r="P328" s="90">
        <v>0</v>
      </c>
      <c r="Q328" s="84">
        <f>R328+S328+T328+U328</f>
        <v>0</v>
      </c>
      <c r="R328" s="84"/>
      <c r="S328" s="84"/>
      <c r="T328" s="84"/>
      <c r="U328" s="84"/>
      <c r="V328" s="84"/>
      <c r="W328" s="84"/>
      <c r="X328" s="84">
        <f>P328+Q328</f>
        <v>0</v>
      </c>
      <c r="Y328" s="84"/>
      <c r="Z328" s="84">
        <f t="shared" si="155"/>
        <v>0</v>
      </c>
      <c r="AA328" s="90">
        <v>0</v>
      </c>
      <c r="AB328" s="90"/>
      <c r="AC328" s="90">
        <v>0</v>
      </c>
      <c r="AD328" s="81"/>
      <c r="AE328" s="81"/>
      <c r="AF328" s="81"/>
    </row>
    <row r="329" spans="1:32" s="82" customFormat="1" x14ac:dyDescent="0.2">
      <c r="A329" s="87" t="s">
        <v>202</v>
      </c>
      <c r="B329" s="126" t="s">
        <v>289</v>
      </c>
      <c r="C329" s="89" t="s">
        <v>506</v>
      </c>
      <c r="D329" s="89" t="s">
        <v>507</v>
      </c>
      <c r="E329" s="89" t="s">
        <v>168</v>
      </c>
      <c r="F329" s="89" t="s">
        <v>203</v>
      </c>
      <c r="G329" s="89"/>
      <c r="H329" s="84">
        <f t="shared" ref="H329:V329" si="193">SUM(H330:H331)</f>
        <v>60000</v>
      </c>
      <c r="I329" s="84">
        <f t="shared" si="193"/>
        <v>0</v>
      </c>
      <c r="J329" s="84">
        <f t="shared" si="193"/>
        <v>0</v>
      </c>
      <c r="K329" s="84">
        <f t="shared" si="193"/>
        <v>0</v>
      </c>
      <c r="L329" s="84">
        <f t="shared" si="193"/>
        <v>0</v>
      </c>
      <c r="M329" s="84">
        <f t="shared" si="193"/>
        <v>0</v>
      </c>
      <c r="N329" s="84">
        <f t="shared" si="193"/>
        <v>60000</v>
      </c>
      <c r="O329" s="84">
        <f t="shared" si="193"/>
        <v>48000</v>
      </c>
      <c r="P329" s="90">
        <f t="shared" si="193"/>
        <v>20000</v>
      </c>
      <c r="Q329" s="90">
        <f t="shared" si="193"/>
        <v>0</v>
      </c>
      <c r="R329" s="90">
        <f t="shared" si="193"/>
        <v>0</v>
      </c>
      <c r="S329" s="90">
        <f t="shared" si="193"/>
        <v>0</v>
      </c>
      <c r="T329" s="90">
        <f t="shared" si="193"/>
        <v>0</v>
      </c>
      <c r="U329" s="90">
        <f t="shared" si="193"/>
        <v>0</v>
      </c>
      <c r="V329" s="90">
        <f t="shared" si="193"/>
        <v>0</v>
      </c>
      <c r="W329" s="90"/>
      <c r="X329" s="90">
        <f>SUM(X330:X331)</f>
        <v>20000</v>
      </c>
      <c r="Y329" s="84"/>
      <c r="Z329" s="84">
        <f t="shared" si="155"/>
        <v>0</v>
      </c>
      <c r="AA329" s="90">
        <f>SUM(AA330:AA331)</f>
        <v>20000</v>
      </c>
      <c r="AB329" s="90"/>
      <c r="AC329" s="90">
        <f>SUM(AC330:AC331)</f>
        <v>20000</v>
      </c>
      <c r="AD329" s="81"/>
      <c r="AE329" s="81"/>
      <c r="AF329" s="81"/>
    </row>
    <row r="330" spans="1:32" s="109" customFormat="1" ht="25.5" x14ac:dyDescent="0.2">
      <c r="A330" s="102" t="s">
        <v>520</v>
      </c>
      <c r="B330" s="168" t="s">
        <v>289</v>
      </c>
      <c r="C330" s="104" t="s">
        <v>506</v>
      </c>
      <c r="D330" s="104" t="s">
        <v>507</v>
      </c>
      <c r="E330" s="104" t="s">
        <v>207</v>
      </c>
      <c r="F330" s="104" t="s">
        <v>208</v>
      </c>
      <c r="G330" s="104"/>
      <c r="H330" s="105">
        <v>40000</v>
      </c>
      <c r="I330" s="105">
        <f>SUM(J330:M330)</f>
        <v>0</v>
      </c>
      <c r="J330" s="105"/>
      <c r="K330" s="105"/>
      <c r="L330" s="105"/>
      <c r="M330" s="105"/>
      <c r="N330" s="105">
        <f>H330+I330</f>
        <v>40000</v>
      </c>
      <c r="O330" s="105">
        <f>40000*80%</f>
        <v>32000</v>
      </c>
      <c r="P330" s="106">
        <v>10000</v>
      </c>
      <c r="Q330" s="105">
        <f>R330+S330+T330+U330+V330</f>
        <v>0</v>
      </c>
      <c r="R330" s="105">
        <v>0</v>
      </c>
      <c r="S330" s="105"/>
      <c r="T330" s="105"/>
      <c r="U330" s="105">
        <v>0</v>
      </c>
      <c r="V330" s="105"/>
      <c r="W330" s="105"/>
      <c r="X330" s="105">
        <f>P330+Q330</f>
        <v>10000</v>
      </c>
      <c r="Y330" s="105" t="s">
        <v>227</v>
      </c>
      <c r="Z330" s="105">
        <f t="shared" si="155"/>
        <v>0</v>
      </c>
      <c r="AA330" s="106">
        <v>10000</v>
      </c>
      <c r="AB330" s="106"/>
      <c r="AC330" s="106">
        <v>10000</v>
      </c>
      <c r="AD330" s="108"/>
      <c r="AE330" s="108"/>
      <c r="AF330" s="108"/>
    </row>
    <row r="331" spans="1:32" s="109" customFormat="1" ht="25.5" x14ac:dyDescent="0.2">
      <c r="A331" s="102" t="s">
        <v>520</v>
      </c>
      <c r="B331" s="166" t="s">
        <v>289</v>
      </c>
      <c r="C331" s="104" t="s">
        <v>506</v>
      </c>
      <c r="D331" s="104" t="s">
        <v>507</v>
      </c>
      <c r="E331" s="104" t="s">
        <v>196</v>
      </c>
      <c r="F331" s="104" t="s">
        <v>208</v>
      </c>
      <c r="G331" s="104"/>
      <c r="H331" s="105">
        <v>20000</v>
      </c>
      <c r="I331" s="105">
        <f>SUM(J331:M331)</f>
        <v>0</v>
      </c>
      <c r="J331" s="105"/>
      <c r="K331" s="105"/>
      <c r="L331" s="105"/>
      <c r="M331" s="105"/>
      <c r="N331" s="105">
        <f>H331+I331</f>
        <v>20000</v>
      </c>
      <c r="O331" s="105">
        <f>20000*80%</f>
        <v>16000</v>
      </c>
      <c r="P331" s="106">
        <v>10000</v>
      </c>
      <c r="Q331" s="105">
        <f>R331+S331+T331+U331+V331</f>
        <v>0</v>
      </c>
      <c r="R331" s="105">
        <v>0</v>
      </c>
      <c r="S331" s="105"/>
      <c r="T331" s="105"/>
      <c r="U331" s="105">
        <v>0</v>
      </c>
      <c r="V331" s="105"/>
      <c r="W331" s="105"/>
      <c r="X331" s="105">
        <f>P331+Q331</f>
        <v>10000</v>
      </c>
      <c r="Y331" s="105" t="s">
        <v>227</v>
      </c>
      <c r="Z331" s="105">
        <f t="shared" si="155"/>
        <v>0</v>
      </c>
      <c r="AA331" s="106">
        <v>10000</v>
      </c>
      <c r="AB331" s="106"/>
      <c r="AC331" s="106">
        <v>10000</v>
      </c>
      <c r="AD331" s="108"/>
      <c r="AE331" s="108"/>
      <c r="AF331" s="108"/>
    </row>
    <row r="332" spans="1:32" s="82" customFormat="1" ht="15.75" x14ac:dyDescent="0.25">
      <c r="A332" s="154" t="s">
        <v>521</v>
      </c>
      <c r="B332" s="128" t="s">
        <v>289</v>
      </c>
      <c r="C332" s="78" t="s">
        <v>522</v>
      </c>
      <c r="D332" s="78" t="s">
        <v>167</v>
      </c>
      <c r="E332" s="78" t="s">
        <v>168</v>
      </c>
      <c r="F332" s="78" t="s">
        <v>168</v>
      </c>
      <c r="G332" s="78"/>
      <c r="H332" s="79"/>
      <c r="I332" s="79"/>
      <c r="J332" s="79"/>
      <c r="K332" s="79"/>
      <c r="L332" s="79"/>
      <c r="M332" s="79"/>
      <c r="N332" s="79"/>
      <c r="O332" s="79"/>
      <c r="P332" s="80">
        <f t="shared" ref="P332:V332" si="194">P333+P334</f>
        <v>0</v>
      </c>
      <c r="Q332" s="80">
        <f t="shared" si="194"/>
        <v>0</v>
      </c>
      <c r="R332" s="80">
        <f t="shared" si="194"/>
        <v>0</v>
      </c>
      <c r="S332" s="80">
        <f t="shared" si="194"/>
        <v>0</v>
      </c>
      <c r="T332" s="80">
        <f t="shared" si="194"/>
        <v>0</v>
      </c>
      <c r="U332" s="80">
        <f t="shared" si="194"/>
        <v>0</v>
      </c>
      <c r="V332" s="80">
        <f t="shared" si="194"/>
        <v>0</v>
      </c>
      <c r="W332" s="80"/>
      <c r="X332" s="80">
        <f>X333+X334</f>
        <v>0</v>
      </c>
      <c r="Y332" s="84"/>
      <c r="Z332" s="84">
        <f t="shared" si="155"/>
        <v>10393544.93</v>
      </c>
      <c r="AA332" s="249">
        <f>AA333+AA334</f>
        <v>10393544.93</v>
      </c>
      <c r="AB332" s="249">
        <f t="shared" ref="AB332" si="195">AB333+AB334</f>
        <v>-10393544.93</v>
      </c>
      <c r="AC332" s="249">
        <f>AC333+AC334</f>
        <v>0</v>
      </c>
      <c r="AD332" s="81"/>
      <c r="AE332" s="81"/>
      <c r="AF332" s="81"/>
    </row>
    <row r="333" spans="1:32" s="82" customFormat="1" ht="51" x14ac:dyDescent="0.2">
      <c r="A333" s="160" t="s">
        <v>523</v>
      </c>
      <c r="B333" s="166" t="s">
        <v>289</v>
      </c>
      <c r="C333" s="104" t="s">
        <v>522</v>
      </c>
      <c r="D333" s="89" t="s">
        <v>524</v>
      </c>
      <c r="E333" s="89" t="s">
        <v>196</v>
      </c>
      <c r="F333" s="89" t="s">
        <v>246</v>
      </c>
      <c r="G333" s="89" t="s">
        <v>378</v>
      </c>
      <c r="H333" s="84"/>
      <c r="I333" s="84"/>
      <c r="J333" s="84"/>
      <c r="K333" s="84"/>
      <c r="L333" s="84"/>
      <c r="M333" s="84"/>
      <c r="N333" s="84"/>
      <c r="O333" s="84"/>
      <c r="P333" s="90">
        <v>0</v>
      </c>
      <c r="Q333" s="84">
        <f>R333+S333+T333+U333+V333</f>
        <v>0</v>
      </c>
      <c r="R333" s="84"/>
      <c r="S333" s="84"/>
      <c r="T333" s="84">
        <v>0</v>
      </c>
      <c r="U333" s="84"/>
      <c r="V333" s="84"/>
      <c r="W333" s="84"/>
      <c r="X333" s="84">
        <f>P333+Q333</f>
        <v>0</v>
      </c>
      <c r="Y333" s="84"/>
      <c r="Z333" s="84">
        <f t="shared" si="155"/>
        <v>5104011.5999999996</v>
      </c>
      <c r="AA333" s="90">
        <v>5104011.5999999996</v>
      </c>
      <c r="AB333" s="90">
        <f t="shared" ref="AB333:AB334" si="196">AC333-AA333</f>
        <v>-5104011.5999999996</v>
      </c>
      <c r="AC333" s="90"/>
      <c r="AD333" s="81"/>
      <c r="AE333" s="81"/>
      <c r="AF333" s="81"/>
    </row>
    <row r="334" spans="1:32" s="82" customFormat="1" ht="54.75" customHeight="1" x14ac:dyDescent="0.2">
      <c r="A334" s="160" t="s">
        <v>525</v>
      </c>
      <c r="B334" s="166" t="s">
        <v>289</v>
      </c>
      <c r="C334" s="104" t="s">
        <v>522</v>
      </c>
      <c r="D334" s="89" t="s">
        <v>524</v>
      </c>
      <c r="E334" s="89" t="s">
        <v>196</v>
      </c>
      <c r="F334" s="89" t="s">
        <v>187</v>
      </c>
      <c r="G334" s="89" t="s">
        <v>378</v>
      </c>
      <c r="H334" s="84"/>
      <c r="I334" s="84"/>
      <c r="J334" s="84"/>
      <c r="K334" s="84"/>
      <c r="L334" s="84"/>
      <c r="M334" s="84"/>
      <c r="N334" s="84"/>
      <c r="O334" s="84"/>
      <c r="P334" s="90">
        <v>0</v>
      </c>
      <c r="Q334" s="84">
        <f>R334+S334+T334+U334+V334</f>
        <v>0</v>
      </c>
      <c r="R334" s="84"/>
      <c r="S334" s="84"/>
      <c r="T334" s="84"/>
      <c r="U334" s="84"/>
      <c r="V334" s="84"/>
      <c r="W334" s="84"/>
      <c r="X334" s="84">
        <f>P334+Q334</f>
        <v>0</v>
      </c>
      <c r="Y334" s="84"/>
      <c r="Z334" s="84">
        <f t="shared" si="155"/>
        <v>5289533.33</v>
      </c>
      <c r="AA334" s="90">
        <v>5289533.33</v>
      </c>
      <c r="AB334" s="90">
        <f t="shared" si="196"/>
        <v>-5289533.33</v>
      </c>
      <c r="AC334" s="90"/>
      <c r="AD334" s="81"/>
      <c r="AE334" s="81"/>
      <c r="AF334" s="81"/>
    </row>
    <row r="335" spans="1:32" s="99" customFormat="1" x14ac:dyDescent="0.2">
      <c r="A335" s="154" t="s">
        <v>526</v>
      </c>
      <c r="B335" s="128" t="s">
        <v>289</v>
      </c>
      <c r="C335" s="78" t="s">
        <v>527</v>
      </c>
      <c r="D335" s="78" t="s">
        <v>167</v>
      </c>
      <c r="E335" s="78" t="s">
        <v>168</v>
      </c>
      <c r="F335" s="78" t="s">
        <v>168</v>
      </c>
      <c r="G335" s="78"/>
      <c r="H335" s="79" t="e">
        <f>H336+#REF!</f>
        <v>#REF!</v>
      </c>
      <c r="I335" s="79" t="e">
        <f>I336+#REF!</f>
        <v>#REF!</v>
      </c>
      <c r="J335" s="79" t="e">
        <f>J336+#REF!</f>
        <v>#REF!</v>
      </c>
      <c r="K335" s="79" t="e">
        <f>K336+#REF!</f>
        <v>#REF!</v>
      </c>
      <c r="L335" s="79" t="e">
        <f>L336+#REF!</f>
        <v>#REF!</v>
      </c>
      <c r="M335" s="79" t="e">
        <f>M336+#REF!</f>
        <v>#REF!</v>
      </c>
      <c r="N335" s="79" t="e">
        <f>N336+#REF!</f>
        <v>#REF!</v>
      </c>
      <c r="O335" s="79" t="e">
        <f>O336+#REF!</f>
        <v>#REF!</v>
      </c>
      <c r="P335" s="80">
        <f>P336</f>
        <v>42500</v>
      </c>
      <c r="Q335" s="80" t="e">
        <f>Q336+#REF!+#REF!+#REF!+Q339</f>
        <v>#REF!</v>
      </c>
      <c r="R335" s="80" t="e">
        <f>R336+#REF!+#REF!+#REF!+R339</f>
        <v>#REF!</v>
      </c>
      <c r="S335" s="80" t="e">
        <f>S336+#REF!+#REF!+#REF!+S339</f>
        <v>#REF!</v>
      </c>
      <c r="T335" s="80" t="e">
        <f>T336+#REF!+#REF!+#REF!+T339</f>
        <v>#REF!</v>
      </c>
      <c r="U335" s="80" t="e">
        <f>U336+#REF!+#REF!+#REF!+U339</f>
        <v>#REF!</v>
      </c>
      <c r="V335" s="80" t="e">
        <f>V336+#REF!+#REF!+#REF!+V339</f>
        <v>#REF!</v>
      </c>
      <c r="W335" s="80" t="e">
        <f>W336+#REF!+#REF!+#REF!+W339</f>
        <v>#REF!</v>
      </c>
      <c r="X335" s="80" t="e">
        <f>X336+#REF!+#REF!+#REF!+X339</f>
        <v>#REF!</v>
      </c>
      <c r="Y335" s="79"/>
      <c r="Z335" s="79">
        <f t="shared" ref="Z335:Z398" si="197">AA335-P335</f>
        <v>714640</v>
      </c>
      <c r="AA335" s="80">
        <f>AA336</f>
        <v>757140</v>
      </c>
      <c r="AB335" s="80">
        <f t="shared" ref="AB335" si="198">AB336</f>
        <v>207624</v>
      </c>
      <c r="AC335" s="80">
        <f>AC336</f>
        <v>964764</v>
      </c>
      <c r="AD335" s="98"/>
      <c r="AE335" s="98"/>
      <c r="AF335" s="98"/>
    </row>
    <row r="336" spans="1:32" s="82" customFormat="1" ht="38.25" x14ac:dyDescent="0.2">
      <c r="A336" s="157" t="s">
        <v>528</v>
      </c>
      <c r="B336" s="130">
        <v>804</v>
      </c>
      <c r="C336" s="78" t="s">
        <v>529</v>
      </c>
      <c r="D336" s="78" t="s">
        <v>530</v>
      </c>
      <c r="E336" s="78" t="s">
        <v>196</v>
      </c>
      <c r="F336" s="78" t="s">
        <v>168</v>
      </c>
      <c r="G336" s="78"/>
      <c r="H336" s="80">
        <f t="shared" ref="H336:O336" si="199">H337</f>
        <v>20000</v>
      </c>
      <c r="I336" s="80">
        <f t="shared" si="199"/>
        <v>-19955</v>
      </c>
      <c r="J336" s="80">
        <f t="shared" si="199"/>
        <v>-19955</v>
      </c>
      <c r="K336" s="80">
        <f t="shared" si="199"/>
        <v>0</v>
      </c>
      <c r="L336" s="80">
        <f t="shared" si="199"/>
        <v>0</v>
      </c>
      <c r="M336" s="80">
        <f t="shared" si="199"/>
        <v>0</v>
      </c>
      <c r="N336" s="80">
        <f t="shared" si="199"/>
        <v>45</v>
      </c>
      <c r="O336" s="80">
        <f t="shared" si="199"/>
        <v>16000</v>
      </c>
      <c r="P336" s="80">
        <f>P337+P338+P339</f>
        <v>42500</v>
      </c>
      <c r="Q336" s="80">
        <f t="shared" ref="Q336:V336" si="200">Q337</f>
        <v>0</v>
      </c>
      <c r="R336" s="80">
        <f t="shared" si="200"/>
        <v>0</v>
      </c>
      <c r="S336" s="80">
        <f t="shared" si="200"/>
        <v>0</v>
      </c>
      <c r="T336" s="80">
        <f t="shared" si="200"/>
        <v>0</v>
      </c>
      <c r="U336" s="80">
        <f t="shared" si="200"/>
        <v>0</v>
      </c>
      <c r="V336" s="80">
        <f t="shared" si="200"/>
        <v>0</v>
      </c>
      <c r="W336" s="80"/>
      <c r="X336" s="80">
        <f>X337</f>
        <v>42500</v>
      </c>
      <c r="Y336" s="84"/>
      <c r="Z336" s="79">
        <f t="shared" si="197"/>
        <v>714640</v>
      </c>
      <c r="AA336" s="80">
        <f>AA337+AA338+AA339</f>
        <v>757140</v>
      </c>
      <c r="AB336" s="80">
        <f t="shared" ref="AB336" si="201">AB337+AB338+AB339</f>
        <v>207624</v>
      </c>
      <c r="AC336" s="80">
        <f>AC337+AC338+AC339</f>
        <v>964764</v>
      </c>
      <c r="AD336" s="81"/>
      <c r="AE336" s="81"/>
      <c r="AF336" s="81"/>
    </row>
    <row r="337" spans="1:32" s="82" customFormat="1" x14ac:dyDescent="0.2">
      <c r="A337" s="91" t="s">
        <v>531</v>
      </c>
      <c r="B337" s="101">
        <v>804</v>
      </c>
      <c r="C337" s="89" t="s">
        <v>529</v>
      </c>
      <c r="D337" s="89" t="s">
        <v>530</v>
      </c>
      <c r="E337" s="89" t="s">
        <v>196</v>
      </c>
      <c r="F337" s="89" t="s">
        <v>187</v>
      </c>
      <c r="G337" s="89"/>
      <c r="H337" s="84">
        <v>20000</v>
      </c>
      <c r="I337" s="84">
        <f>SUM(J337:M337)</f>
        <v>-19955</v>
      </c>
      <c r="J337" s="84">
        <f>-18455-1500</f>
        <v>-19955</v>
      </c>
      <c r="K337" s="84"/>
      <c r="L337" s="84"/>
      <c r="M337" s="84"/>
      <c r="N337" s="84">
        <f>H337+I337</f>
        <v>45</v>
      </c>
      <c r="O337" s="84">
        <f>20000*80%</f>
        <v>16000</v>
      </c>
      <c r="P337" s="90">
        <f>42500</f>
        <v>42500</v>
      </c>
      <c r="Q337" s="84">
        <f>R337+S337+T337+U337+V337</f>
        <v>0</v>
      </c>
      <c r="R337" s="84">
        <v>0</v>
      </c>
      <c r="S337" s="84"/>
      <c r="T337" s="84">
        <v>0</v>
      </c>
      <c r="U337" s="84">
        <v>0</v>
      </c>
      <c r="V337" s="84"/>
      <c r="W337" s="84"/>
      <c r="X337" s="84">
        <f>P337+Q337</f>
        <v>42500</v>
      </c>
      <c r="Y337" s="84"/>
      <c r="Z337" s="84">
        <f t="shared" si="197"/>
        <v>0</v>
      </c>
      <c r="AA337" s="90">
        <f>42500</f>
        <v>42500</v>
      </c>
      <c r="AB337" s="90">
        <f t="shared" ref="AB337:AB338" si="202">AC337-AA337</f>
        <v>207624</v>
      </c>
      <c r="AC337" s="90">
        <v>250124</v>
      </c>
      <c r="AD337" s="81"/>
      <c r="AE337" s="81"/>
      <c r="AF337" s="81"/>
    </row>
    <row r="338" spans="1:32" s="82" customFormat="1" ht="28.5" customHeight="1" x14ac:dyDescent="0.2">
      <c r="A338" s="160" t="s">
        <v>532</v>
      </c>
      <c r="B338" s="95">
        <v>804</v>
      </c>
      <c r="C338" s="89" t="s">
        <v>529</v>
      </c>
      <c r="D338" s="89" t="s">
        <v>530</v>
      </c>
      <c r="E338" s="89" t="s">
        <v>196</v>
      </c>
      <c r="F338" s="89" t="s">
        <v>187</v>
      </c>
      <c r="G338" s="89" t="s">
        <v>378</v>
      </c>
      <c r="H338" s="84">
        <f t="shared" ref="H338:O338" si="203">SUM(H343:H344)</f>
        <v>0</v>
      </c>
      <c r="I338" s="84">
        <f t="shared" si="203"/>
        <v>0</v>
      </c>
      <c r="J338" s="84">
        <f t="shared" si="203"/>
        <v>0</v>
      </c>
      <c r="K338" s="84">
        <f t="shared" si="203"/>
        <v>0</v>
      </c>
      <c r="L338" s="84">
        <f t="shared" si="203"/>
        <v>0</v>
      </c>
      <c r="M338" s="84">
        <f t="shared" si="203"/>
        <v>0</v>
      </c>
      <c r="N338" s="84">
        <f t="shared" si="203"/>
        <v>0</v>
      </c>
      <c r="O338" s="84">
        <f t="shared" si="203"/>
        <v>0</v>
      </c>
      <c r="P338" s="90">
        <v>0</v>
      </c>
      <c r="Q338" s="84">
        <f>R338+S338+T338+U338+V338</f>
        <v>0</v>
      </c>
      <c r="R338" s="84"/>
      <c r="S338" s="84"/>
      <c r="T338" s="84">
        <v>0</v>
      </c>
      <c r="U338" s="84">
        <v>0</v>
      </c>
      <c r="V338" s="84"/>
      <c r="W338" s="84"/>
      <c r="X338" s="84">
        <f>P338+Q338</f>
        <v>0</v>
      </c>
      <c r="Y338" s="84"/>
      <c r="Z338" s="84">
        <f t="shared" si="197"/>
        <v>714640</v>
      </c>
      <c r="AA338" s="90">
        <v>714640</v>
      </c>
      <c r="AB338" s="90">
        <f t="shared" si="202"/>
        <v>0</v>
      </c>
      <c r="AC338" s="90">
        <v>714640</v>
      </c>
      <c r="AD338" s="81"/>
      <c r="AE338" s="81"/>
      <c r="AF338" s="81"/>
    </row>
    <row r="339" spans="1:32" s="82" customFormat="1" hidden="1" x14ac:dyDescent="0.2">
      <c r="A339" s="76" t="s">
        <v>202</v>
      </c>
      <c r="B339" s="130">
        <v>804</v>
      </c>
      <c r="C339" s="78" t="s">
        <v>529</v>
      </c>
      <c r="D339" s="78" t="s">
        <v>533</v>
      </c>
      <c r="E339" s="78" t="s">
        <v>196</v>
      </c>
      <c r="F339" s="78" t="s">
        <v>203</v>
      </c>
      <c r="G339" s="78"/>
      <c r="H339" s="79"/>
      <c r="I339" s="79"/>
      <c r="J339" s="79"/>
      <c r="K339" s="79"/>
      <c r="L339" s="79"/>
      <c r="M339" s="79"/>
      <c r="N339" s="79"/>
      <c r="O339" s="79"/>
      <c r="P339" s="80">
        <f>P340+P341</f>
        <v>0</v>
      </c>
      <c r="Q339" s="84">
        <f>R339+S339+T339+U339+V339</f>
        <v>0</v>
      </c>
      <c r="R339" s="84">
        <f t="shared" ref="R339:X339" si="204">R340+R341</f>
        <v>0</v>
      </c>
      <c r="S339" s="84">
        <f t="shared" si="204"/>
        <v>0</v>
      </c>
      <c r="T339" s="84">
        <f t="shared" si="204"/>
        <v>0</v>
      </c>
      <c r="U339" s="84">
        <f t="shared" si="204"/>
        <v>0</v>
      </c>
      <c r="V339" s="84">
        <f t="shared" si="204"/>
        <v>0</v>
      </c>
      <c r="W339" s="84">
        <f t="shared" si="204"/>
        <v>0</v>
      </c>
      <c r="X339" s="84">
        <f t="shared" si="204"/>
        <v>0</v>
      </c>
      <c r="Y339" s="84"/>
      <c r="Z339" s="84">
        <f t="shared" si="197"/>
        <v>0</v>
      </c>
      <c r="AA339" s="80">
        <f>AA340+AA341</f>
        <v>0</v>
      </c>
      <c r="AB339" s="80"/>
      <c r="AC339" s="80">
        <f>AC340+AC341</f>
        <v>0</v>
      </c>
      <c r="AD339" s="81"/>
      <c r="AE339" s="81"/>
      <c r="AF339" s="81"/>
    </row>
    <row r="340" spans="1:32" s="82" customFormat="1" hidden="1" x14ac:dyDescent="0.2">
      <c r="A340" s="91" t="s">
        <v>534</v>
      </c>
      <c r="B340" s="95"/>
      <c r="C340" s="89"/>
      <c r="D340" s="89"/>
      <c r="E340" s="89"/>
      <c r="F340" s="89" t="s">
        <v>535</v>
      </c>
      <c r="G340" s="89"/>
      <c r="H340" s="84"/>
      <c r="I340" s="84"/>
      <c r="J340" s="84"/>
      <c r="K340" s="84"/>
      <c r="L340" s="84"/>
      <c r="M340" s="84"/>
      <c r="N340" s="84"/>
      <c r="O340" s="84"/>
      <c r="P340" s="90">
        <v>0</v>
      </c>
      <c r="Q340" s="84">
        <f>R340+S340+T340+U340+V340</f>
        <v>0</v>
      </c>
      <c r="R340" s="84">
        <v>0</v>
      </c>
      <c r="S340" s="84"/>
      <c r="T340" s="84"/>
      <c r="U340" s="84"/>
      <c r="V340" s="84"/>
      <c r="W340" s="84"/>
      <c r="X340" s="84">
        <f>P340+Q340</f>
        <v>0</v>
      </c>
      <c r="Y340" s="84"/>
      <c r="Z340" s="84">
        <f t="shared" si="197"/>
        <v>0</v>
      </c>
      <c r="AA340" s="90">
        <v>0</v>
      </c>
      <c r="AB340" s="90"/>
      <c r="AC340" s="90">
        <v>0</v>
      </c>
      <c r="AD340" s="81"/>
      <c r="AE340" s="81"/>
      <c r="AF340" s="81"/>
    </row>
    <row r="341" spans="1:32" s="82" customFormat="1" hidden="1" x14ac:dyDescent="0.2">
      <c r="A341" s="91" t="s">
        <v>536</v>
      </c>
      <c r="B341" s="95"/>
      <c r="C341" s="89"/>
      <c r="D341" s="89"/>
      <c r="E341" s="89"/>
      <c r="F341" s="89" t="s">
        <v>208</v>
      </c>
      <c r="G341" s="89"/>
      <c r="H341" s="84"/>
      <c r="I341" s="84"/>
      <c r="J341" s="84"/>
      <c r="K341" s="84"/>
      <c r="L341" s="84"/>
      <c r="M341" s="84"/>
      <c r="N341" s="84"/>
      <c r="O341" s="84"/>
      <c r="P341" s="90">
        <v>0</v>
      </c>
      <c r="Q341" s="84">
        <f>R341+S341+T341+U341+V341</f>
        <v>0</v>
      </c>
      <c r="R341" s="84">
        <v>0</v>
      </c>
      <c r="S341" s="84"/>
      <c r="T341" s="84"/>
      <c r="U341" s="84"/>
      <c r="V341" s="84"/>
      <c r="W341" s="84"/>
      <c r="X341" s="84">
        <f>P341+Q341</f>
        <v>0</v>
      </c>
      <c r="Y341" s="84"/>
      <c r="Z341" s="84">
        <f t="shared" si="197"/>
        <v>0</v>
      </c>
      <c r="AA341" s="90">
        <v>0</v>
      </c>
      <c r="AB341" s="90"/>
      <c r="AC341" s="90">
        <v>0</v>
      </c>
      <c r="AD341" s="81"/>
      <c r="AE341" s="81"/>
      <c r="AF341" s="81"/>
    </row>
    <row r="342" spans="1:32" s="82" customFormat="1" hidden="1" x14ac:dyDescent="0.2">
      <c r="A342" s="83" t="s">
        <v>537</v>
      </c>
      <c r="B342" s="130"/>
      <c r="C342" s="78" t="s">
        <v>538</v>
      </c>
      <c r="D342" s="78" t="s">
        <v>539</v>
      </c>
      <c r="E342" s="78" t="s">
        <v>168</v>
      </c>
      <c r="F342" s="78"/>
      <c r="G342" s="78"/>
      <c r="H342" s="79"/>
      <c r="I342" s="79"/>
      <c r="J342" s="79"/>
      <c r="K342" s="79"/>
      <c r="L342" s="79"/>
      <c r="M342" s="79"/>
      <c r="N342" s="79"/>
      <c r="O342" s="79"/>
      <c r="P342" s="80">
        <v>0</v>
      </c>
      <c r="Q342" s="80">
        <f t="shared" ref="Q342:X342" si="205">Q344+Q345+Q346+Q343</f>
        <v>0</v>
      </c>
      <c r="R342" s="80">
        <f t="shared" si="205"/>
        <v>0</v>
      </c>
      <c r="S342" s="80">
        <f t="shared" si="205"/>
        <v>0</v>
      </c>
      <c r="T342" s="80">
        <f t="shared" si="205"/>
        <v>0</v>
      </c>
      <c r="U342" s="80">
        <f t="shared" si="205"/>
        <v>0</v>
      </c>
      <c r="V342" s="80">
        <f t="shared" si="205"/>
        <v>0</v>
      </c>
      <c r="W342" s="80">
        <f t="shared" si="205"/>
        <v>0</v>
      </c>
      <c r="X342" s="80">
        <f t="shared" si="205"/>
        <v>0</v>
      </c>
      <c r="Y342" s="84"/>
      <c r="Z342" s="84">
        <f t="shared" si="197"/>
        <v>0</v>
      </c>
      <c r="AA342" s="80">
        <v>0</v>
      </c>
      <c r="AB342" s="80"/>
      <c r="AC342" s="80">
        <v>0</v>
      </c>
      <c r="AD342" s="81"/>
      <c r="AE342" s="81"/>
      <c r="AF342" s="81"/>
    </row>
    <row r="343" spans="1:32" s="82" customFormat="1" hidden="1" x14ac:dyDescent="0.2">
      <c r="A343" s="158" t="s">
        <v>414</v>
      </c>
      <c r="B343" s="95"/>
      <c r="C343" s="89"/>
      <c r="D343" s="89"/>
      <c r="E343" s="89" t="s">
        <v>196</v>
      </c>
      <c r="F343" s="89" t="s">
        <v>187</v>
      </c>
      <c r="G343" s="89"/>
      <c r="H343" s="84"/>
      <c r="I343" s="84"/>
      <c r="J343" s="84"/>
      <c r="K343" s="84"/>
      <c r="L343" s="84"/>
      <c r="M343" s="84"/>
      <c r="N343" s="84"/>
      <c r="O343" s="84"/>
      <c r="P343" s="90">
        <v>0</v>
      </c>
      <c r="Q343" s="84">
        <f>R343+S343+T343+U343+V343</f>
        <v>0</v>
      </c>
      <c r="R343" s="90">
        <v>0</v>
      </c>
      <c r="S343" s="90"/>
      <c r="T343" s="90"/>
      <c r="U343" s="90">
        <v>0</v>
      </c>
      <c r="V343" s="90"/>
      <c r="W343" s="90"/>
      <c r="X343" s="84">
        <f>P343+Q343</f>
        <v>0</v>
      </c>
      <c r="Y343" s="84"/>
      <c r="Z343" s="84">
        <f t="shared" si="197"/>
        <v>0</v>
      </c>
      <c r="AA343" s="90">
        <v>0</v>
      </c>
      <c r="AB343" s="90"/>
      <c r="AC343" s="90">
        <v>0</v>
      </c>
      <c r="AD343" s="81"/>
      <c r="AE343" s="81"/>
      <c r="AF343" s="81"/>
    </row>
    <row r="344" spans="1:32" s="82" customFormat="1" hidden="1" x14ac:dyDescent="0.2">
      <c r="A344" s="91" t="s">
        <v>540</v>
      </c>
      <c r="B344" s="95"/>
      <c r="C344" s="89"/>
      <c r="D344" s="89"/>
      <c r="E344" s="89" t="s">
        <v>196</v>
      </c>
      <c r="F344" s="89" t="s">
        <v>212</v>
      </c>
      <c r="G344" s="89"/>
      <c r="H344" s="84"/>
      <c r="I344" s="84"/>
      <c r="J344" s="84"/>
      <c r="K344" s="84"/>
      <c r="L344" s="84"/>
      <c r="M344" s="84"/>
      <c r="N344" s="84"/>
      <c r="O344" s="84"/>
      <c r="P344" s="90">
        <v>0</v>
      </c>
      <c r="Q344" s="84">
        <f>R344+S344+T344+U344+V344</f>
        <v>0</v>
      </c>
      <c r="R344" s="84">
        <v>0</v>
      </c>
      <c r="S344" s="84">
        <v>0</v>
      </c>
      <c r="T344" s="84"/>
      <c r="U344" s="84">
        <v>0</v>
      </c>
      <c r="V344" s="84"/>
      <c r="W344" s="84"/>
      <c r="X344" s="84">
        <f>P344+Q344</f>
        <v>0</v>
      </c>
      <c r="Y344" s="84"/>
      <c r="Z344" s="84">
        <f t="shared" si="197"/>
        <v>0</v>
      </c>
      <c r="AA344" s="90">
        <v>0</v>
      </c>
      <c r="AB344" s="90"/>
      <c r="AC344" s="90">
        <v>0</v>
      </c>
      <c r="AD344" s="81"/>
      <c r="AE344" s="81"/>
      <c r="AF344" s="81"/>
    </row>
    <row r="345" spans="1:32" s="82" customFormat="1" ht="25.5" hidden="1" x14ac:dyDescent="0.2">
      <c r="A345" s="92" t="s">
        <v>206</v>
      </c>
      <c r="B345" s="95"/>
      <c r="C345" s="89"/>
      <c r="D345" s="89"/>
      <c r="E345" s="89"/>
      <c r="F345" s="89" t="s">
        <v>208</v>
      </c>
      <c r="G345" s="89"/>
      <c r="H345" s="84"/>
      <c r="I345" s="84"/>
      <c r="J345" s="84"/>
      <c r="K345" s="84"/>
      <c r="L345" s="84"/>
      <c r="M345" s="84"/>
      <c r="N345" s="84"/>
      <c r="O345" s="84"/>
      <c r="P345" s="90">
        <v>0</v>
      </c>
      <c r="Q345" s="84">
        <f>R345+S345+T345+U345</f>
        <v>0</v>
      </c>
      <c r="R345" s="84">
        <v>0</v>
      </c>
      <c r="S345" s="84"/>
      <c r="T345" s="84"/>
      <c r="U345" s="84">
        <v>0</v>
      </c>
      <c r="V345" s="84"/>
      <c r="W345" s="84"/>
      <c r="X345" s="84">
        <f>P345+Q345</f>
        <v>0</v>
      </c>
      <c r="Y345" s="84"/>
      <c r="Z345" s="84">
        <f t="shared" si="197"/>
        <v>0</v>
      </c>
      <c r="AA345" s="90">
        <v>0</v>
      </c>
      <c r="AB345" s="90"/>
      <c r="AC345" s="90">
        <v>0</v>
      </c>
      <c r="AD345" s="81"/>
      <c r="AE345" s="81"/>
      <c r="AF345" s="81"/>
    </row>
    <row r="346" spans="1:32" s="82" customFormat="1" ht="25.5" hidden="1" x14ac:dyDescent="0.2">
      <c r="A346" s="92" t="s">
        <v>520</v>
      </c>
      <c r="B346" s="95"/>
      <c r="C346" s="89"/>
      <c r="D346" s="89"/>
      <c r="E346" s="89"/>
      <c r="F346" s="89" t="s">
        <v>535</v>
      </c>
      <c r="G346" s="89"/>
      <c r="H346" s="84"/>
      <c r="I346" s="84"/>
      <c r="J346" s="84"/>
      <c r="K346" s="84"/>
      <c r="L346" s="84"/>
      <c r="M346" s="84"/>
      <c r="N346" s="84"/>
      <c r="O346" s="84"/>
      <c r="P346" s="90">
        <v>0</v>
      </c>
      <c r="Q346" s="84">
        <f>R346+S346+T346+U346</f>
        <v>0</v>
      </c>
      <c r="R346" s="84">
        <v>0</v>
      </c>
      <c r="S346" s="84"/>
      <c r="T346" s="84"/>
      <c r="U346" s="84">
        <v>0</v>
      </c>
      <c r="V346" s="84"/>
      <c r="W346" s="84"/>
      <c r="X346" s="84">
        <f>P346+Q346</f>
        <v>0</v>
      </c>
      <c r="Y346" s="84"/>
      <c r="Z346" s="84">
        <f t="shared" si="197"/>
        <v>0</v>
      </c>
      <c r="AA346" s="90">
        <v>0</v>
      </c>
      <c r="AB346" s="90"/>
      <c r="AC346" s="90">
        <v>0</v>
      </c>
      <c r="AD346" s="81"/>
      <c r="AE346" s="81"/>
      <c r="AF346" s="81"/>
    </row>
    <row r="347" spans="1:32" s="82" customFormat="1" ht="15.75" x14ac:dyDescent="0.25">
      <c r="A347" s="83" t="s">
        <v>541</v>
      </c>
      <c r="B347" s="77">
        <v>804</v>
      </c>
      <c r="C347" s="78" t="s">
        <v>538</v>
      </c>
      <c r="D347" s="78" t="s">
        <v>167</v>
      </c>
      <c r="E347" s="78" t="s">
        <v>168</v>
      </c>
      <c r="F347" s="78" t="s">
        <v>168</v>
      </c>
      <c r="G347" s="89"/>
      <c r="H347" s="79" t="e">
        <f>#REF!+#REF!</f>
        <v>#REF!</v>
      </c>
      <c r="I347" s="79" t="e">
        <f>#REF!+#REF!</f>
        <v>#REF!</v>
      </c>
      <c r="J347" s="79" t="e">
        <f>#REF!+#REF!</f>
        <v>#REF!</v>
      </c>
      <c r="K347" s="79" t="e">
        <f>#REF!+#REF!</f>
        <v>#REF!</v>
      </c>
      <c r="L347" s="79" t="e">
        <f>#REF!+#REF!</f>
        <v>#REF!</v>
      </c>
      <c r="M347" s="79" t="e">
        <f>#REF!+#REF!</f>
        <v>#REF!</v>
      </c>
      <c r="N347" s="79" t="e">
        <f>#REF!+#REF!</f>
        <v>#REF!</v>
      </c>
      <c r="O347" s="79" t="e">
        <f>#REF!+#REF!</f>
        <v>#REF!</v>
      </c>
      <c r="P347" s="80">
        <f>P348</f>
        <v>45990904.899999999</v>
      </c>
      <c r="Q347" s="80" t="e">
        <f>#REF!+#REF!+Q348</f>
        <v>#REF!</v>
      </c>
      <c r="R347" s="80" t="e">
        <f>#REF!+#REF!+R348</f>
        <v>#REF!</v>
      </c>
      <c r="S347" s="80" t="e">
        <f>#REF!+#REF!+S348</f>
        <v>#REF!</v>
      </c>
      <c r="T347" s="80" t="e">
        <f>#REF!+#REF!+T348</f>
        <v>#REF!</v>
      </c>
      <c r="U347" s="80" t="e">
        <f>#REF!+#REF!+U348</f>
        <v>#REF!</v>
      </c>
      <c r="V347" s="80" t="e">
        <f>#REF!+#REF!+V348</f>
        <v>#REF!</v>
      </c>
      <c r="W347" s="80" t="e">
        <f>#REF!+#REF!+W348</f>
        <v>#REF!</v>
      </c>
      <c r="X347" s="80" t="e">
        <f>#REF!+#REF!+X348</f>
        <v>#REF!</v>
      </c>
      <c r="Y347" s="84"/>
      <c r="Z347" s="79">
        <f t="shared" si="197"/>
        <v>-5020903.7599999979</v>
      </c>
      <c r="AA347" s="249">
        <f>AA348</f>
        <v>40970001.140000001</v>
      </c>
      <c r="AB347" s="249">
        <f t="shared" ref="AB347:AC347" si="206">AB348</f>
        <v>247283.22000000626</v>
      </c>
      <c r="AC347" s="249">
        <f t="shared" si="206"/>
        <v>41217284.360000007</v>
      </c>
      <c r="AD347" s="81"/>
      <c r="AE347" s="81"/>
      <c r="AF347" s="81"/>
    </row>
    <row r="348" spans="1:32" s="82" customFormat="1" x14ac:dyDescent="0.2">
      <c r="A348" s="83" t="s">
        <v>542</v>
      </c>
      <c r="B348" s="77">
        <v>804</v>
      </c>
      <c r="C348" s="78" t="s">
        <v>538</v>
      </c>
      <c r="D348" s="78" t="s">
        <v>167</v>
      </c>
      <c r="E348" s="78" t="s">
        <v>168</v>
      </c>
      <c r="F348" s="78" t="s">
        <v>168</v>
      </c>
      <c r="G348" s="89"/>
      <c r="H348" s="84"/>
      <c r="I348" s="84"/>
      <c r="J348" s="84"/>
      <c r="K348" s="84"/>
      <c r="L348" s="84"/>
      <c r="M348" s="84"/>
      <c r="N348" s="84"/>
      <c r="O348" s="84"/>
      <c r="P348" s="80">
        <f>P349+P353+P355+P356</f>
        <v>45990904.899999999</v>
      </c>
      <c r="Q348" s="80" t="e">
        <f>Q350+Q352+Q353+#REF!+Q356</f>
        <v>#REF!</v>
      </c>
      <c r="R348" s="80" t="e">
        <f>R350+R352+R353+#REF!+R356</f>
        <v>#REF!</v>
      </c>
      <c r="S348" s="80" t="e">
        <f>S350+S352+S353+#REF!+S356</f>
        <v>#REF!</v>
      </c>
      <c r="T348" s="80" t="e">
        <f>T350+T352+T353+#REF!+T356</f>
        <v>#REF!</v>
      </c>
      <c r="U348" s="80" t="e">
        <f>U350+U352+U353+#REF!+U356</f>
        <v>#REF!</v>
      </c>
      <c r="V348" s="80" t="e">
        <f>V350+V352+V353+#REF!+V356</f>
        <v>#REF!</v>
      </c>
      <c r="W348" s="80" t="e">
        <f>W350+W352+W353+#REF!+W356</f>
        <v>#REF!</v>
      </c>
      <c r="X348" s="80" t="e">
        <f>X350+X352+X353+#REF!+X356</f>
        <v>#REF!</v>
      </c>
      <c r="Y348" s="80" t="e">
        <f>Y350+Y352+Y353+#REF!+Y356</f>
        <v>#REF!</v>
      </c>
      <c r="Z348" s="80">
        <f t="shared" si="197"/>
        <v>-5020903.7599999979</v>
      </c>
      <c r="AA348" s="80">
        <f>AA349+AA353+AA355+AA356+AA354</f>
        <v>40970001.140000001</v>
      </c>
      <c r="AB348" s="80">
        <f t="shared" ref="AB348" si="207">AB349+AB353+AB355+AB356+AB354</f>
        <v>247283.22000000626</v>
      </c>
      <c r="AC348" s="80">
        <f>AC349+AC353+AC355+AC356+AC354</f>
        <v>41217284.360000007</v>
      </c>
      <c r="AD348" s="81"/>
      <c r="AE348" s="81"/>
      <c r="AF348" s="81"/>
    </row>
    <row r="349" spans="1:32" s="82" customFormat="1" ht="38.25" x14ac:dyDescent="0.2">
      <c r="A349" s="83" t="s">
        <v>543</v>
      </c>
      <c r="B349" s="77">
        <v>804</v>
      </c>
      <c r="C349" s="78" t="s">
        <v>538</v>
      </c>
      <c r="D349" s="78" t="s">
        <v>167</v>
      </c>
      <c r="E349" s="78" t="s">
        <v>168</v>
      </c>
      <c r="F349" s="78" t="s">
        <v>168</v>
      </c>
      <c r="G349" s="89"/>
      <c r="H349" s="84"/>
      <c r="I349" s="84"/>
      <c r="J349" s="84"/>
      <c r="K349" s="84"/>
      <c r="L349" s="84"/>
      <c r="M349" s="84"/>
      <c r="N349" s="84"/>
      <c r="O349" s="84"/>
      <c r="P349" s="80">
        <f>P350+P352</f>
        <v>44065904.899999999</v>
      </c>
      <c r="Q349" s="80"/>
      <c r="R349" s="80"/>
      <c r="S349" s="80"/>
      <c r="T349" s="80"/>
      <c r="U349" s="80"/>
      <c r="V349" s="80"/>
      <c r="W349" s="80"/>
      <c r="X349" s="80"/>
      <c r="Y349" s="80"/>
      <c r="Z349" s="80">
        <f t="shared" si="197"/>
        <v>-5079563.9600000009</v>
      </c>
      <c r="AA349" s="80">
        <f>AA350+AA352+AA351</f>
        <v>38986340.939999998</v>
      </c>
      <c r="AB349" s="80">
        <f t="shared" ref="AB349" si="208">AB350+AB352+AB351</f>
        <v>977283.22000000626</v>
      </c>
      <c r="AC349" s="80">
        <f>AC350+AC352+AC351</f>
        <v>39963624.160000004</v>
      </c>
      <c r="AD349" s="81"/>
      <c r="AE349" s="81"/>
      <c r="AF349" s="81"/>
    </row>
    <row r="350" spans="1:32" s="82" customFormat="1" ht="38.25" x14ac:dyDescent="0.2">
      <c r="A350" s="87" t="s">
        <v>544</v>
      </c>
      <c r="B350" s="126" t="s">
        <v>289</v>
      </c>
      <c r="C350" s="89" t="s">
        <v>545</v>
      </c>
      <c r="D350" s="89" t="s">
        <v>546</v>
      </c>
      <c r="E350" s="89" t="s">
        <v>547</v>
      </c>
      <c r="F350" s="89" t="s">
        <v>548</v>
      </c>
      <c r="G350" s="89" t="s">
        <v>549</v>
      </c>
      <c r="H350" s="84"/>
      <c r="I350" s="84"/>
      <c r="J350" s="84"/>
      <c r="K350" s="84"/>
      <c r="L350" s="84"/>
      <c r="M350" s="84"/>
      <c r="N350" s="84"/>
      <c r="O350" s="84"/>
      <c r="P350" s="90">
        <v>43317197.899999999</v>
      </c>
      <c r="Q350" s="84">
        <f>R350+S350+T350+U350+V350+W350</f>
        <v>0</v>
      </c>
      <c r="R350" s="84">
        <v>0</v>
      </c>
      <c r="S350" s="84">
        <v>0</v>
      </c>
      <c r="T350" s="84"/>
      <c r="U350" s="84">
        <v>0</v>
      </c>
      <c r="V350" s="84">
        <v>0</v>
      </c>
      <c r="W350" s="84"/>
      <c r="X350" s="84">
        <f>P350+Q350</f>
        <v>43317197.899999999</v>
      </c>
      <c r="Y350" s="84"/>
      <c r="Z350" s="84">
        <f t="shared" si="197"/>
        <v>-6307319.3500000015</v>
      </c>
      <c r="AA350" s="90">
        <f>37009878.55</f>
        <v>37009878.549999997</v>
      </c>
      <c r="AB350" s="90">
        <f t="shared" ref="AB350:AB356" si="209">AC350-AA350</f>
        <v>677283.22000000626</v>
      </c>
      <c r="AC350" s="90">
        <f>37687161.77</f>
        <v>37687161.770000003</v>
      </c>
      <c r="AD350" s="85"/>
      <c r="AE350" s="81"/>
      <c r="AF350" s="81"/>
    </row>
    <row r="351" spans="1:32" s="82" customFormat="1" ht="38.25" x14ac:dyDescent="0.2">
      <c r="A351" s="87" t="s">
        <v>550</v>
      </c>
      <c r="B351" s="126" t="s">
        <v>289</v>
      </c>
      <c r="C351" s="89" t="s">
        <v>545</v>
      </c>
      <c r="D351" s="89" t="s">
        <v>546</v>
      </c>
      <c r="E351" s="89" t="s">
        <v>547</v>
      </c>
      <c r="F351" s="89" t="s">
        <v>548</v>
      </c>
      <c r="G351" s="89" t="s">
        <v>549</v>
      </c>
      <c r="H351" s="84"/>
      <c r="I351" s="84"/>
      <c r="J351" s="84"/>
      <c r="K351" s="84"/>
      <c r="L351" s="84"/>
      <c r="M351" s="84"/>
      <c r="N351" s="84"/>
      <c r="O351" s="84"/>
      <c r="P351" s="90"/>
      <c r="Q351" s="84"/>
      <c r="R351" s="84"/>
      <c r="S351" s="84"/>
      <c r="T351" s="84"/>
      <c r="U351" s="84"/>
      <c r="V351" s="84"/>
      <c r="W351" s="84"/>
      <c r="X351" s="84"/>
      <c r="Y351" s="84"/>
      <c r="Z351" s="84">
        <f t="shared" si="197"/>
        <v>1227755.3899999999</v>
      </c>
      <c r="AA351" s="90">
        <v>1227755.3899999999</v>
      </c>
      <c r="AB351" s="90">
        <f t="shared" si="209"/>
        <v>0</v>
      </c>
      <c r="AC351" s="90">
        <v>1227755.3899999999</v>
      </c>
      <c r="AD351" s="85"/>
      <c r="AE351" s="81"/>
      <c r="AF351" s="81"/>
    </row>
    <row r="352" spans="1:32" s="82" customFormat="1" ht="25.5" x14ac:dyDescent="0.2">
      <c r="A352" s="87" t="s">
        <v>551</v>
      </c>
      <c r="B352" s="126" t="s">
        <v>289</v>
      </c>
      <c r="C352" s="89" t="s">
        <v>545</v>
      </c>
      <c r="D352" s="89" t="s">
        <v>552</v>
      </c>
      <c r="E352" s="89" t="s">
        <v>547</v>
      </c>
      <c r="F352" s="89" t="s">
        <v>548</v>
      </c>
      <c r="G352" s="89" t="s">
        <v>549</v>
      </c>
      <c r="H352" s="84"/>
      <c r="I352" s="84"/>
      <c r="J352" s="84"/>
      <c r="K352" s="84"/>
      <c r="L352" s="84"/>
      <c r="M352" s="84"/>
      <c r="N352" s="84"/>
      <c r="O352" s="84"/>
      <c r="P352" s="90">
        <v>748707</v>
      </c>
      <c r="Q352" s="84">
        <f>R352+S352+T352+U352+V352+W352</f>
        <v>0</v>
      </c>
      <c r="R352" s="84"/>
      <c r="S352" s="84">
        <v>0</v>
      </c>
      <c r="T352" s="84"/>
      <c r="U352" s="84"/>
      <c r="V352" s="84"/>
      <c r="W352" s="84"/>
      <c r="X352" s="84">
        <f>P352+Q352</f>
        <v>748707</v>
      </c>
      <c r="Y352" s="84"/>
      <c r="Z352" s="84">
        <f t="shared" si="197"/>
        <v>0</v>
      </c>
      <c r="AA352" s="90">
        <v>748707</v>
      </c>
      <c r="AB352" s="90">
        <f t="shared" si="209"/>
        <v>300000</v>
      </c>
      <c r="AC352" s="90">
        <f>748707+300000</f>
        <v>1048707</v>
      </c>
      <c r="AD352" s="85"/>
      <c r="AE352" s="81"/>
      <c r="AF352" s="81"/>
    </row>
    <row r="353" spans="1:32" s="82" customFormat="1" ht="38.25" x14ac:dyDescent="0.2">
      <c r="A353" s="87" t="s">
        <v>553</v>
      </c>
      <c r="B353" s="126" t="s">
        <v>289</v>
      </c>
      <c r="C353" s="89" t="s">
        <v>545</v>
      </c>
      <c r="D353" s="89" t="s">
        <v>554</v>
      </c>
      <c r="E353" s="89" t="s">
        <v>555</v>
      </c>
      <c r="F353" s="89" t="s">
        <v>548</v>
      </c>
      <c r="G353" s="89" t="s">
        <v>556</v>
      </c>
      <c r="H353" s="84"/>
      <c r="I353" s="84"/>
      <c r="J353" s="84"/>
      <c r="K353" s="84"/>
      <c r="L353" s="84"/>
      <c r="M353" s="84"/>
      <c r="N353" s="84"/>
      <c r="O353" s="84"/>
      <c r="P353" s="90">
        <v>1295000</v>
      </c>
      <c r="Q353" s="84">
        <f>R353+S353+T353+U353+V353+W353</f>
        <v>0</v>
      </c>
      <c r="R353" s="84">
        <v>0</v>
      </c>
      <c r="S353" s="84">
        <v>0</v>
      </c>
      <c r="T353" s="84"/>
      <c r="U353" s="84">
        <v>0</v>
      </c>
      <c r="V353" s="84"/>
      <c r="W353" s="84"/>
      <c r="X353" s="84">
        <f>P353+Q353</f>
        <v>1295000</v>
      </c>
      <c r="Y353" s="84"/>
      <c r="Z353" s="84">
        <f t="shared" si="197"/>
        <v>0</v>
      </c>
      <c r="AA353" s="90">
        <v>1295000</v>
      </c>
      <c r="AB353" s="90">
        <f t="shared" si="209"/>
        <v>-450000</v>
      </c>
      <c r="AC353" s="90">
        <f>1295000-450000</f>
        <v>845000</v>
      </c>
      <c r="AD353" s="85"/>
      <c r="AE353" s="81"/>
      <c r="AF353" s="81"/>
    </row>
    <row r="354" spans="1:32" s="82" customFormat="1" x14ac:dyDescent="0.2">
      <c r="A354" s="87" t="s">
        <v>198</v>
      </c>
      <c r="B354" s="126" t="s">
        <v>289</v>
      </c>
      <c r="C354" s="89" t="s">
        <v>545</v>
      </c>
      <c r="D354" s="89" t="s">
        <v>539</v>
      </c>
      <c r="E354" s="89" t="s">
        <v>196</v>
      </c>
      <c r="F354" s="89" t="s">
        <v>199</v>
      </c>
      <c r="G354" s="89"/>
      <c r="H354" s="84"/>
      <c r="I354" s="84"/>
      <c r="J354" s="84"/>
      <c r="K354" s="84"/>
      <c r="L354" s="84"/>
      <c r="M354" s="84"/>
      <c r="N354" s="84"/>
      <c r="O354" s="84"/>
      <c r="P354" s="90"/>
      <c r="Q354" s="84"/>
      <c r="R354" s="84"/>
      <c r="S354" s="84"/>
      <c r="T354" s="84"/>
      <c r="U354" s="84"/>
      <c r="V354" s="84"/>
      <c r="W354" s="84"/>
      <c r="X354" s="84"/>
      <c r="Y354" s="84"/>
      <c r="Z354" s="84">
        <f t="shared" si="197"/>
        <v>58660.2</v>
      </c>
      <c r="AA354" s="90">
        <v>58660.2</v>
      </c>
      <c r="AB354" s="90">
        <f t="shared" si="209"/>
        <v>0</v>
      </c>
      <c r="AC354" s="90">
        <v>58660.2</v>
      </c>
      <c r="AD354" s="85"/>
      <c r="AE354" s="81"/>
      <c r="AF354" s="81"/>
    </row>
    <row r="355" spans="1:32" s="82" customFormat="1" ht="37.5" customHeight="1" x14ac:dyDescent="0.2">
      <c r="A355" s="160" t="s">
        <v>557</v>
      </c>
      <c r="B355" s="126" t="s">
        <v>289</v>
      </c>
      <c r="C355" s="89" t="s">
        <v>545</v>
      </c>
      <c r="D355" s="89" t="s">
        <v>554</v>
      </c>
      <c r="E355" s="89" t="s">
        <v>555</v>
      </c>
      <c r="F355" s="89" t="s">
        <v>548</v>
      </c>
      <c r="G355" s="89" t="s">
        <v>378</v>
      </c>
      <c r="H355" s="84"/>
      <c r="I355" s="84"/>
      <c r="J355" s="84"/>
      <c r="K355" s="84"/>
      <c r="L355" s="84"/>
      <c r="M355" s="84"/>
      <c r="N355" s="84"/>
      <c r="O355" s="84"/>
      <c r="P355" s="90">
        <f>630000</f>
        <v>630000</v>
      </c>
      <c r="Q355" s="84">
        <f>R355+S355+T355+U355+V355+W355</f>
        <v>0</v>
      </c>
      <c r="R355" s="84">
        <v>0</v>
      </c>
      <c r="S355" s="84"/>
      <c r="T355" s="84"/>
      <c r="U355" s="84"/>
      <c r="V355" s="84"/>
      <c r="W355" s="84"/>
      <c r="X355" s="84">
        <f>P355+Q355</f>
        <v>630000</v>
      </c>
      <c r="Y355" s="84"/>
      <c r="Z355" s="84">
        <f t="shared" si="197"/>
        <v>0</v>
      </c>
      <c r="AA355" s="90">
        <f>630000</f>
        <v>630000</v>
      </c>
      <c r="AB355" s="90">
        <f t="shared" si="209"/>
        <v>-280000</v>
      </c>
      <c r="AC355" s="90">
        <f>630000-280000</f>
        <v>350000</v>
      </c>
      <c r="AD355" s="81"/>
      <c r="AE355" s="81"/>
      <c r="AF355" s="81"/>
    </row>
    <row r="356" spans="1:32" s="82" customFormat="1" ht="0.75" customHeight="1" x14ac:dyDescent="0.2">
      <c r="A356" s="87" t="s">
        <v>558</v>
      </c>
      <c r="B356" s="126"/>
      <c r="C356" s="89"/>
      <c r="D356" s="89" t="s">
        <v>559</v>
      </c>
      <c r="E356" s="89" t="s">
        <v>555</v>
      </c>
      <c r="F356" s="89" t="s">
        <v>548</v>
      </c>
      <c r="G356" s="89" t="s">
        <v>323</v>
      </c>
      <c r="H356" s="84"/>
      <c r="I356" s="84"/>
      <c r="J356" s="84"/>
      <c r="K356" s="84"/>
      <c r="L356" s="84"/>
      <c r="M356" s="84"/>
      <c r="N356" s="84"/>
      <c r="O356" s="84"/>
      <c r="P356" s="90">
        <v>0</v>
      </c>
      <c r="Q356" s="84">
        <f>R356+S356+T356+U356+V356+W356</f>
        <v>0</v>
      </c>
      <c r="R356" s="84">
        <v>0</v>
      </c>
      <c r="S356" s="84"/>
      <c r="T356" s="84"/>
      <c r="U356" s="84"/>
      <c r="V356" s="84"/>
      <c r="W356" s="84"/>
      <c r="X356" s="84">
        <f>P356+Q356</f>
        <v>0</v>
      </c>
      <c r="Y356" s="84"/>
      <c r="Z356" s="84">
        <f t="shared" si="197"/>
        <v>0</v>
      </c>
      <c r="AA356" s="90">
        <v>0</v>
      </c>
      <c r="AB356" s="90">
        <f t="shared" si="209"/>
        <v>0</v>
      </c>
      <c r="AC356" s="90">
        <v>0</v>
      </c>
      <c r="AD356" s="81"/>
      <c r="AE356" s="81"/>
      <c r="AF356" s="81"/>
    </row>
    <row r="357" spans="1:32" s="82" customFormat="1" ht="19.5" customHeight="1" x14ac:dyDescent="0.2">
      <c r="A357" s="83" t="s">
        <v>560</v>
      </c>
      <c r="B357" s="77">
        <v>804</v>
      </c>
      <c r="C357" s="78" t="s">
        <v>561</v>
      </c>
      <c r="D357" s="78" t="s">
        <v>167</v>
      </c>
      <c r="E357" s="78" t="s">
        <v>168</v>
      </c>
      <c r="F357" s="78" t="s">
        <v>168</v>
      </c>
      <c r="G357" s="78"/>
      <c r="H357" s="79" t="e">
        <f t="shared" ref="H357:O357" si="210">H359</f>
        <v>#REF!</v>
      </c>
      <c r="I357" s="79">
        <f t="shared" si="210"/>
        <v>0</v>
      </c>
      <c r="J357" s="79">
        <f t="shared" si="210"/>
        <v>0</v>
      </c>
      <c r="K357" s="79">
        <f t="shared" si="210"/>
        <v>0</v>
      </c>
      <c r="L357" s="79">
        <f t="shared" si="210"/>
        <v>0</v>
      </c>
      <c r="M357" s="79">
        <f t="shared" si="210"/>
        <v>0</v>
      </c>
      <c r="N357" s="79">
        <f t="shared" si="210"/>
        <v>448247.5</v>
      </c>
      <c r="O357" s="79" t="e">
        <f t="shared" si="210"/>
        <v>#REF!</v>
      </c>
      <c r="P357" s="80">
        <f t="shared" ref="P357:V357" si="211">P359+P358</f>
        <v>1301010.48</v>
      </c>
      <c r="Q357" s="80" t="e">
        <f t="shared" si="211"/>
        <v>#REF!</v>
      </c>
      <c r="R357" s="80" t="e">
        <f t="shared" si="211"/>
        <v>#REF!</v>
      </c>
      <c r="S357" s="80" t="e">
        <f t="shared" si="211"/>
        <v>#REF!</v>
      </c>
      <c r="T357" s="80" t="e">
        <f t="shared" si="211"/>
        <v>#REF!</v>
      </c>
      <c r="U357" s="80" t="e">
        <f t="shared" si="211"/>
        <v>#REF!</v>
      </c>
      <c r="V357" s="80" t="e">
        <f t="shared" si="211"/>
        <v>#REF!</v>
      </c>
      <c r="W357" s="80"/>
      <c r="X357" s="79" t="e">
        <f>P357+Q357</f>
        <v>#REF!</v>
      </c>
      <c r="Y357" s="84"/>
      <c r="Z357" s="84">
        <f t="shared" si="197"/>
        <v>826600</v>
      </c>
      <c r="AA357" s="80">
        <f>AA358+AA359</f>
        <v>2127610.48</v>
      </c>
      <c r="AB357" s="80">
        <f t="shared" ref="AB357:AC357" si="212">AB358+AB359</f>
        <v>245268.32000000007</v>
      </c>
      <c r="AC357" s="80">
        <f t="shared" si="212"/>
        <v>2372878.7999999998</v>
      </c>
      <c r="AD357" s="81"/>
      <c r="AE357" s="81"/>
      <c r="AF357" s="81"/>
    </row>
    <row r="358" spans="1:32" s="82" customFormat="1" x14ac:dyDescent="0.2">
      <c r="A358" s="83" t="s">
        <v>562</v>
      </c>
      <c r="B358" s="77">
        <v>804</v>
      </c>
      <c r="C358" s="78" t="s">
        <v>563</v>
      </c>
      <c r="D358" s="78" t="s">
        <v>564</v>
      </c>
      <c r="E358" s="78" t="s">
        <v>565</v>
      </c>
      <c r="F358" s="78" t="s">
        <v>191</v>
      </c>
      <c r="G358" s="78"/>
      <c r="H358" s="79" t="e">
        <f>H359+#REF!+#REF!</f>
        <v>#REF!</v>
      </c>
      <c r="I358" s="79">
        <f t="shared" ref="I358:N358" si="213">SUM(I359:I369)</f>
        <v>0</v>
      </c>
      <c r="J358" s="79">
        <f t="shared" si="213"/>
        <v>0</v>
      </c>
      <c r="K358" s="79">
        <f t="shared" si="213"/>
        <v>0</v>
      </c>
      <c r="L358" s="79">
        <f t="shared" si="213"/>
        <v>0</v>
      </c>
      <c r="M358" s="79">
        <f t="shared" si="213"/>
        <v>0</v>
      </c>
      <c r="N358" s="79">
        <f t="shared" si="213"/>
        <v>896495</v>
      </c>
      <c r="O358" s="79" t="e">
        <f>O359+#REF!+#REF!</f>
        <v>#REF!</v>
      </c>
      <c r="P358" s="80">
        <f>570555.36+190185.12</f>
        <v>760740.48</v>
      </c>
      <c r="Q358" s="80">
        <f>R358+T358+S358+V358</f>
        <v>0</v>
      </c>
      <c r="R358" s="80">
        <v>0</v>
      </c>
      <c r="S358" s="80">
        <v>0</v>
      </c>
      <c r="T358" s="80">
        <v>0</v>
      </c>
      <c r="U358" s="80">
        <v>0</v>
      </c>
      <c r="V358" s="80">
        <v>0</v>
      </c>
      <c r="W358" s="80"/>
      <c r="X358" s="80">
        <f>P358+Q358</f>
        <v>760740.48</v>
      </c>
      <c r="Y358" s="84"/>
      <c r="Z358" s="84">
        <f t="shared" si="197"/>
        <v>0</v>
      </c>
      <c r="AA358" s="80">
        <f>570555.36+190185.12</f>
        <v>760740.48</v>
      </c>
      <c r="AB358" s="80">
        <f t="shared" ref="AB358" si="214">AC358-AA358</f>
        <v>245268.32000000007</v>
      </c>
      <c r="AC358" s="250">
        <f>245268.32+760740.48</f>
        <v>1006008.8</v>
      </c>
      <c r="AD358" s="81"/>
      <c r="AE358" s="81"/>
      <c r="AF358" s="81"/>
    </row>
    <row r="359" spans="1:32" s="82" customFormat="1" x14ac:dyDescent="0.2">
      <c r="A359" s="83" t="s">
        <v>566</v>
      </c>
      <c r="B359" s="77">
        <v>804</v>
      </c>
      <c r="C359" s="78" t="s">
        <v>567</v>
      </c>
      <c r="D359" s="78" t="s">
        <v>167</v>
      </c>
      <c r="E359" s="78" t="s">
        <v>168</v>
      </c>
      <c r="F359" s="78" t="s">
        <v>168</v>
      </c>
      <c r="G359" s="78"/>
      <c r="H359" s="79" t="e">
        <f>H360+H373+#REF!</f>
        <v>#REF!</v>
      </c>
      <c r="I359" s="79">
        <f t="shared" ref="I359:N359" si="215">SUM(I360:I369)</f>
        <v>0</v>
      </c>
      <c r="J359" s="79">
        <f t="shared" si="215"/>
        <v>0</v>
      </c>
      <c r="K359" s="79">
        <f t="shared" si="215"/>
        <v>0</v>
      </c>
      <c r="L359" s="79">
        <f t="shared" si="215"/>
        <v>0</v>
      </c>
      <c r="M359" s="79">
        <f t="shared" si="215"/>
        <v>0</v>
      </c>
      <c r="N359" s="79">
        <f t="shared" si="215"/>
        <v>448247.5</v>
      </c>
      <c r="O359" s="79" t="e">
        <f>O360+O373+#REF!</f>
        <v>#REF!</v>
      </c>
      <c r="P359" s="80">
        <f>P360+P373</f>
        <v>540270</v>
      </c>
      <c r="Q359" s="80" t="e">
        <f>Q360+Q373+#REF!+#REF!+#REF!</f>
        <v>#REF!</v>
      </c>
      <c r="R359" s="80" t="e">
        <f>R360+R373+#REF!+#REF!+#REF!</f>
        <v>#REF!</v>
      </c>
      <c r="S359" s="80" t="e">
        <f>S360+S373+#REF!+#REF!+#REF!</f>
        <v>#REF!</v>
      </c>
      <c r="T359" s="80" t="e">
        <f>T360+T373+#REF!+#REF!+#REF!</f>
        <v>#REF!</v>
      </c>
      <c r="U359" s="80" t="e">
        <f>U360+U373+#REF!+#REF!+#REF!</f>
        <v>#REF!</v>
      </c>
      <c r="V359" s="80" t="e">
        <f>V360+V373+#REF!+#REF!+#REF!</f>
        <v>#REF!</v>
      </c>
      <c r="W359" s="80" t="e">
        <f>W360+W373+#REF!+#REF!+#REF!</f>
        <v>#REF!</v>
      </c>
      <c r="X359" s="80" t="e">
        <f>X360+X373+#REF!+#REF!+#REF!</f>
        <v>#REF!</v>
      </c>
      <c r="Y359" s="84"/>
      <c r="Z359" s="84">
        <f t="shared" si="197"/>
        <v>826600</v>
      </c>
      <c r="AA359" s="80">
        <f>AA360+AA370+AA371+AA373</f>
        <v>1366870</v>
      </c>
      <c r="AB359" s="80">
        <f t="shared" ref="AB359:AC359" si="216">AB360+AB370+AB371+AB373</f>
        <v>0</v>
      </c>
      <c r="AC359" s="80">
        <f t="shared" si="216"/>
        <v>1366870</v>
      </c>
      <c r="AD359" s="81"/>
      <c r="AE359" s="81"/>
      <c r="AF359" s="81"/>
    </row>
    <row r="360" spans="1:32" s="162" customFormat="1" ht="38.25" x14ac:dyDescent="0.2">
      <c r="A360" s="169" t="s">
        <v>568</v>
      </c>
      <c r="B360" s="77">
        <v>804</v>
      </c>
      <c r="C360" s="78" t="s">
        <v>567</v>
      </c>
      <c r="D360" s="78" t="s">
        <v>167</v>
      </c>
      <c r="E360" s="78" t="s">
        <v>168</v>
      </c>
      <c r="F360" s="78" t="s">
        <v>168</v>
      </c>
      <c r="G360" s="78" t="s">
        <v>340</v>
      </c>
      <c r="H360" s="80">
        <f>SUM(H361:H369)</f>
        <v>224123.75</v>
      </c>
      <c r="I360" s="129">
        <f>SUM(J360:M360)</f>
        <v>17300</v>
      </c>
      <c r="J360" s="129">
        <v>17300</v>
      </c>
      <c r="K360" s="129">
        <v>0</v>
      </c>
      <c r="L360" s="129">
        <v>0</v>
      </c>
      <c r="M360" s="129">
        <v>0</v>
      </c>
      <c r="N360" s="129">
        <f>H360+I360</f>
        <v>241423.75</v>
      </c>
      <c r="O360" s="80">
        <f>SUM(O361:O369)</f>
        <v>179299</v>
      </c>
      <c r="P360" s="80">
        <f>P361+P362+P367+P366+P369</f>
        <v>400770</v>
      </c>
      <c r="Q360" s="80" t="e">
        <f>Q361+Q362+Q367+Q366+Q369+#REF!+#REF!+#REF!+#REF!+#REF!+#REF!+#REF!</f>
        <v>#REF!</v>
      </c>
      <c r="R360" s="80" t="e">
        <f>R361+R362+R367+R366+R369+#REF!+#REF!+#REF!+#REF!+#REF!+#REF!+#REF!</f>
        <v>#REF!</v>
      </c>
      <c r="S360" s="80" t="e">
        <f>S361+S362+S367+S366+S369+#REF!+#REF!+#REF!+#REF!+#REF!+#REF!+#REF!</f>
        <v>#REF!</v>
      </c>
      <c r="T360" s="80" t="e">
        <f>T361+T362+T367+T366+T369+#REF!+#REF!+#REF!+#REF!+#REF!+#REF!+#REF!</f>
        <v>#REF!</v>
      </c>
      <c r="U360" s="80" t="e">
        <f>U361+U362+U367+U366+U369+#REF!+#REF!+#REF!+#REF!+#REF!+#REF!+#REF!</f>
        <v>#REF!</v>
      </c>
      <c r="V360" s="80" t="e">
        <f>V361+V362+V367+V366+V369+#REF!+#REF!+#REF!+#REF!+#REF!+#REF!+#REF!</f>
        <v>#REF!</v>
      </c>
      <c r="W360" s="80" t="e">
        <f>W361+W362+W367+W366+W369+#REF!+#REF!+#REF!+#REF!+#REF!+#REF!+#REF!</f>
        <v>#REF!</v>
      </c>
      <c r="X360" s="80" t="e">
        <f>X361+X362+X367+X366+X369+#REF!+#REF!+#REF!+#REF!+#REF!+#REF!+#REF!</f>
        <v>#REF!</v>
      </c>
      <c r="Y360" s="80" t="e">
        <f>Y361+Y362+Y367+Y366+Y369+#REF!+#REF!+#REF!+#REF!+#REF!+#REF!+#REF!</f>
        <v>#REF!</v>
      </c>
      <c r="Z360" s="80">
        <f>AA360-P360</f>
        <v>245600</v>
      </c>
      <c r="AA360" s="80">
        <f>SUM(AA361:AA369)</f>
        <v>646370</v>
      </c>
      <c r="AB360" s="80">
        <f t="shared" ref="AB360:AC360" si="217">SUM(AB361:AB369)</f>
        <v>0</v>
      </c>
      <c r="AC360" s="80">
        <f t="shared" si="217"/>
        <v>646370</v>
      </c>
      <c r="AD360" s="161"/>
      <c r="AE360" s="161"/>
      <c r="AF360" s="161"/>
    </row>
    <row r="361" spans="1:32" s="82" customFormat="1" x14ac:dyDescent="0.2">
      <c r="A361" s="87" t="s">
        <v>569</v>
      </c>
      <c r="B361" s="88">
        <v>804</v>
      </c>
      <c r="C361" s="89" t="s">
        <v>567</v>
      </c>
      <c r="D361" s="89" t="s">
        <v>570</v>
      </c>
      <c r="E361" s="89" t="s">
        <v>196</v>
      </c>
      <c r="F361" s="89" t="s">
        <v>229</v>
      </c>
      <c r="G361" s="89"/>
      <c r="H361" s="84">
        <v>30000</v>
      </c>
      <c r="I361" s="84">
        <f>SUM(J361:M361)</f>
        <v>0</v>
      </c>
      <c r="J361" s="84">
        <v>0</v>
      </c>
      <c r="K361" s="84"/>
      <c r="L361" s="84"/>
      <c r="M361" s="84"/>
      <c r="N361" s="84">
        <f>H361+I361</f>
        <v>30000</v>
      </c>
      <c r="O361" s="84">
        <f>30000*80%</f>
        <v>24000</v>
      </c>
      <c r="P361" s="90">
        <f>20000+11770</f>
        <v>31770</v>
      </c>
      <c r="Q361" s="84">
        <f>R361+S361+T361+U361+V361</f>
        <v>0</v>
      </c>
      <c r="R361" s="84">
        <v>0</v>
      </c>
      <c r="S361" s="84"/>
      <c r="T361" s="84"/>
      <c r="U361" s="84"/>
      <c r="V361" s="84"/>
      <c r="W361" s="84"/>
      <c r="X361" s="84">
        <f>P361+Q361</f>
        <v>31770</v>
      </c>
      <c r="Y361" s="84"/>
      <c r="Z361" s="84">
        <f t="shared" si="197"/>
        <v>0</v>
      </c>
      <c r="AA361" s="90">
        <f>20000+11770</f>
        <v>31770</v>
      </c>
      <c r="AB361" s="90">
        <f t="shared" ref="AB361:AB377" si="218">AC361-AA361</f>
        <v>0</v>
      </c>
      <c r="AC361" s="90">
        <f>20000+11770</f>
        <v>31770</v>
      </c>
      <c r="AD361" s="81"/>
      <c r="AE361" s="81"/>
      <c r="AF361" s="81"/>
    </row>
    <row r="362" spans="1:32" s="82" customFormat="1" x14ac:dyDescent="0.2">
      <c r="A362" s="170" t="s">
        <v>255</v>
      </c>
      <c r="B362" s="88">
        <v>804</v>
      </c>
      <c r="C362" s="89" t="s">
        <v>567</v>
      </c>
      <c r="D362" s="246">
        <v>5540010000</v>
      </c>
      <c r="E362" s="89" t="s">
        <v>196</v>
      </c>
      <c r="F362" s="89" t="s">
        <v>187</v>
      </c>
      <c r="G362" s="89"/>
      <c r="H362" s="84">
        <v>40000</v>
      </c>
      <c r="I362" s="84">
        <f>SUM(J362:M362)</f>
        <v>0</v>
      </c>
      <c r="J362" s="84">
        <v>0</v>
      </c>
      <c r="K362" s="84">
        <v>0</v>
      </c>
      <c r="L362" s="84">
        <v>0</v>
      </c>
      <c r="M362" s="84">
        <v>0</v>
      </c>
      <c r="N362" s="84">
        <f>H362+I362</f>
        <v>40000</v>
      </c>
      <c r="O362" s="84">
        <f>40000*80%</f>
        <v>32000</v>
      </c>
      <c r="P362" s="90">
        <f>145000</f>
        <v>145000</v>
      </c>
      <c r="Q362" s="84">
        <f>R362+S362+T362+U362+V362</f>
        <v>0</v>
      </c>
      <c r="R362" s="84">
        <v>0</v>
      </c>
      <c r="S362" s="84"/>
      <c r="T362" s="84"/>
      <c r="U362" s="84"/>
      <c r="V362" s="84"/>
      <c r="W362" s="84"/>
      <c r="X362" s="84">
        <f>P362+Q362</f>
        <v>145000</v>
      </c>
      <c r="Y362" s="84"/>
      <c r="Z362" s="84">
        <v>-145000</v>
      </c>
      <c r="AA362" s="90">
        <v>0</v>
      </c>
      <c r="AB362" s="90">
        <f t="shared" si="218"/>
        <v>0</v>
      </c>
      <c r="AC362" s="90">
        <v>0</v>
      </c>
      <c r="AD362" s="81"/>
      <c r="AE362" s="81"/>
      <c r="AF362" s="81"/>
    </row>
    <row r="363" spans="1:32" s="82" customFormat="1" x14ac:dyDescent="0.2">
      <c r="A363" s="170" t="s">
        <v>571</v>
      </c>
      <c r="B363" s="88">
        <v>804</v>
      </c>
      <c r="C363" s="89" t="s">
        <v>567</v>
      </c>
      <c r="D363" s="247" t="s">
        <v>572</v>
      </c>
      <c r="E363" s="89"/>
      <c r="F363" s="89"/>
      <c r="G363" s="89"/>
      <c r="H363" s="84"/>
      <c r="I363" s="84"/>
      <c r="J363" s="84"/>
      <c r="K363" s="84"/>
      <c r="L363" s="84"/>
      <c r="M363" s="84"/>
      <c r="N363" s="84"/>
      <c r="O363" s="84"/>
      <c r="P363" s="90"/>
      <c r="Q363" s="84"/>
      <c r="R363" s="84"/>
      <c r="S363" s="84"/>
      <c r="T363" s="84"/>
      <c r="U363" s="84"/>
      <c r="V363" s="84"/>
      <c r="W363" s="84"/>
      <c r="X363" s="84"/>
      <c r="Y363" s="84"/>
      <c r="Z363" s="84"/>
      <c r="AA363" s="90"/>
      <c r="AB363" s="90">
        <f t="shared" si="218"/>
        <v>0</v>
      </c>
      <c r="AC363" s="90"/>
      <c r="AD363" s="81"/>
      <c r="AE363" s="81"/>
      <c r="AF363" s="81"/>
    </row>
    <row r="364" spans="1:32" s="82" customFormat="1" ht="51" x14ac:dyDescent="0.2">
      <c r="A364" s="170" t="s">
        <v>573</v>
      </c>
      <c r="B364" s="88">
        <v>804</v>
      </c>
      <c r="C364" s="89" t="s">
        <v>567</v>
      </c>
      <c r="D364" s="89" t="s">
        <v>574</v>
      </c>
      <c r="E364" s="89" t="s">
        <v>196</v>
      </c>
      <c r="F364" s="89" t="s">
        <v>187</v>
      </c>
      <c r="G364" s="89"/>
      <c r="H364" s="84"/>
      <c r="I364" s="84"/>
      <c r="J364" s="84"/>
      <c r="K364" s="84"/>
      <c r="L364" s="84"/>
      <c r="M364" s="84"/>
      <c r="N364" s="84"/>
      <c r="O364" s="84"/>
      <c r="P364" s="90"/>
      <c r="Q364" s="84"/>
      <c r="R364" s="84"/>
      <c r="S364" s="84"/>
      <c r="T364" s="84"/>
      <c r="U364" s="84"/>
      <c r="V364" s="84"/>
      <c r="W364" s="84"/>
      <c r="X364" s="84"/>
      <c r="Y364" s="84"/>
      <c r="Z364" s="84">
        <f t="shared" si="197"/>
        <v>185600</v>
      </c>
      <c r="AA364" s="90">
        <v>185600</v>
      </c>
      <c r="AB364" s="90">
        <f t="shared" si="218"/>
        <v>0</v>
      </c>
      <c r="AC364" s="90">
        <v>185600</v>
      </c>
      <c r="AD364" s="81"/>
      <c r="AE364" s="81"/>
      <c r="AF364" s="81"/>
    </row>
    <row r="365" spans="1:32" s="82" customFormat="1" ht="51" x14ac:dyDescent="0.2">
      <c r="A365" s="170" t="s">
        <v>575</v>
      </c>
      <c r="B365" s="88">
        <v>804</v>
      </c>
      <c r="C365" s="89" t="s">
        <v>567</v>
      </c>
      <c r="D365" s="89" t="s">
        <v>572</v>
      </c>
      <c r="E365" s="89" t="s">
        <v>196</v>
      </c>
      <c r="F365" s="89" t="s">
        <v>187</v>
      </c>
      <c r="G365" s="89" t="s">
        <v>378</v>
      </c>
      <c r="H365" s="84"/>
      <c r="I365" s="84"/>
      <c r="J365" s="84"/>
      <c r="K365" s="84"/>
      <c r="L365" s="84"/>
      <c r="M365" s="84"/>
      <c r="N365" s="84"/>
      <c r="O365" s="84"/>
      <c r="P365" s="90"/>
      <c r="Q365" s="84"/>
      <c r="R365" s="84"/>
      <c r="S365" s="84"/>
      <c r="T365" s="84"/>
      <c r="U365" s="84"/>
      <c r="V365" s="84"/>
      <c r="W365" s="84"/>
      <c r="X365" s="84"/>
      <c r="Y365" s="84"/>
      <c r="Z365" s="84">
        <f t="shared" si="197"/>
        <v>104400</v>
      </c>
      <c r="AA365" s="90">
        <f>160000-55600</f>
        <v>104400</v>
      </c>
      <c r="AB365" s="90">
        <f t="shared" si="218"/>
        <v>0</v>
      </c>
      <c r="AC365" s="90">
        <f>160000-55600</f>
        <v>104400</v>
      </c>
      <c r="AD365" s="81"/>
      <c r="AE365" s="81"/>
      <c r="AF365" s="81"/>
    </row>
    <row r="366" spans="1:32" s="82" customFormat="1" x14ac:dyDescent="0.2">
      <c r="A366" s="170" t="s">
        <v>576</v>
      </c>
      <c r="B366" s="88">
        <v>804</v>
      </c>
      <c r="C366" s="89" t="s">
        <v>567</v>
      </c>
      <c r="D366" s="89" t="s">
        <v>570</v>
      </c>
      <c r="E366" s="89" t="s">
        <v>196</v>
      </c>
      <c r="F366" s="89" t="s">
        <v>187</v>
      </c>
      <c r="G366" s="89"/>
      <c r="H366" s="84"/>
      <c r="I366" s="84"/>
      <c r="J366" s="84"/>
      <c r="K366" s="84"/>
      <c r="L366" s="84"/>
      <c r="M366" s="84"/>
      <c r="N366" s="84"/>
      <c r="O366" s="84"/>
      <c r="P366" s="90">
        <v>70000</v>
      </c>
      <c r="Q366" s="84">
        <f>R366+S366+T366+U366+V366</f>
        <v>0</v>
      </c>
      <c r="R366" s="84">
        <v>0</v>
      </c>
      <c r="S366" s="84"/>
      <c r="T366" s="84"/>
      <c r="U366" s="84"/>
      <c r="V366" s="84"/>
      <c r="W366" s="84"/>
      <c r="X366" s="84">
        <f>P366+Q366</f>
        <v>70000</v>
      </c>
      <c r="Y366" s="84"/>
      <c r="Z366" s="84">
        <f t="shared" si="197"/>
        <v>100600</v>
      </c>
      <c r="AA366" s="90">
        <v>170600</v>
      </c>
      <c r="AB366" s="90">
        <f t="shared" si="218"/>
        <v>0</v>
      </c>
      <c r="AC366" s="90">
        <v>170600</v>
      </c>
      <c r="AD366" s="81"/>
      <c r="AE366" s="81"/>
      <c r="AF366" s="81"/>
    </row>
    <row r="367" spans="1:32" s="82" customFormat="1" x14ac:dyDescent="0.2">
      <c r="A367" s="170" t="s">
        <v>577</v>
      </c>
      <c r="B367" s="88">
        <v>804</v>
      </c>
      <c r="C367" s="89" t="s">
        <v>567</v>
      </c>
      <c r="D367" s="89" t="s">
        <v>570</v>
      </c>
      <c r="E367" s="89" t="s">
        <v>190</v>
      </c>
      <c r="F367" s="89" t="s">
        <v>578</v>
      </c>
      <c r="G367" s="89"/>
      <c r="H367" s="84">
        <f>109623.75+20000</f>
        <v>129623.75</v>
      </c>
      <c r="I367" s="84">
        <f>SUM(J367:M367)</f>
        <v>-17300</v>
      </c>
      <c r="J367" s="84">
        <v>-17300</v>
      </c>
      <c r="K367" s="84"/>
      <c r="L367" s="84"/>
      <c r="M367" s="84"/>
      <c r="N367" s="84">
        <f>H367+I367</f>
        <v>112323.75</v>
      </c>
      <c r="O367" s="84">
        <f>(109623.75+20000)*80%</f>
        <v>103699</v>
      </c>
      <c r="P367" s="90">
        <f>80000+25000+30000</f>
        <v>135000</v>
      </c>
      <c r="Q367" s="84">
        <f>R367+S367+T367+U367+V367</f>
        <v>0</v>
      </c>
      <c r="R367" s="84">
        <v>0</v>
      </c>
      <c r="S367" s="84"/>
      <c r="T367" s="84"/>
      <c r="U367" s="84"/>
      <c r="V367" s="84"/>
      <c r="W367" s="84"/>
      <c r="X367" s="84">
        <f>P367+Q367</f>
        <v>135000</v>
      </c>
      <c r="Y367" s="84"/>
      <c r="Z367" s="84">
        <f t="shared" si="197"/>
        <v>0</v>
      </c>
      <c r="AA367" s="90">
        <f>80000+25000+30000</f>
        <v>135000</v>
      </c>
      <c r="AB367" s="90">
        <f t="shared" si="218"/>
        <v>0</v>
      </c>
      <c r="AC367" s="90">
        <f>80000+25000+30000</f>
        <v>135000</v>
      </c>
      <c r="AD367" s="81"/>
      <c r="AE367" s="81"/>
      <c r="AF367" s="81"/>
    </row>
    <row r="368" spans="1:32" s="82" customFormat="1" ht="25.5" x14ac:dyDescent="0.2">
      <c r="A368" s="170" t="s">
        <v>579</v>
      </c>
      <c r="B368" s="88">
        <v>804</v>
      </c>
      <c r="C368" s="89" t="s">
        <v>567</v>
      </c>
      <c r="D368" s="89"/>
      <c r="E368" s="89"/>
      <c r="F368" s="89"/>
      <c r="G368" s="89"/>
      <c r="H368" s="84"/>
      <c r="I368" s="84"/>
      <c r="J368" s="84"/>
      <c r="K368" s="84"/>
      <c r="L368" s="84"/>
      <c r="M368" s="84"/>
      <c r="N368" s="84"/>
      <c r="O368" s="84"/>
      <c r="P368" s="90"/>
      <c r="Q368" s="84"/>
      <c r="R368" s="84"/>
      <c r="S368" s="84"/>
      <c r="T368" s="84"/>
      <c r="U368" s="84"/>
      <c r="V368" s="84"/>
      <c r="W368" s="84"/>
      <c r="X368" s="84"/>
      <c r="Y368" s="84"/>
      <c r="Z368" s="84">
        <v>0</v>
      </c>
      <c r="AA368" s="90">
        <v>0</v>
      </c>
      <c r="AB368" s="90">
        <f t="shared" si="218"/>
        <v>0</v>
      </c>
      <c r="AC368" s="90">
        <v>0</v>
      </c>
      <c r="AD368" s="81"/>
      <c r="AE368" s="81"/>
      <c r="AF368" s="81"/>
    </row>
    <row r="369" spans="1:32" s="82" customFormat="1" x14ac:dyDescent="0.2">
      <c r="A369" s="170" t="s">
        <v>580</v>
      </c>
      <c r="B369" s="88">
        <v>804</v>
      </c>
      <c r="C369" s="89" t="s">
        <v>567</v>
      </c>
      <c r="D369" s="89" t="s">
        <v>570</v>
      </c>
      <c r="E369" s="89" t="s">
        <v>196</v>
      </c>
      <c r="F369" s="89" t="s">
        <v>212</v>
      </c>
      <c r="G369" s="89"/>
      <c r="H369" s="84">
        <v>24500</v>
      </c>
      <c r="I369" s="84">
        <f>SUM(J369:M369)</f>
        <v>0</v>
      </c>
      <c r="J369" s="84">
        <v>0</v>
      </c>
      <c r="K369" s="84">
        <v>0</v>
      </c>
      <c r="L369" s="84">
        <v>0</v>
      </c>
      <c r="M369" s="84">
        <v>0</v>
      </c>
      <c r="N369" s="84">
        <f>H369+I369</f>
        <v>24500</v>
      </c>
      <c r="O369" s="84">
        <f>24500*80%</f>
        <v>19600</v>
      </c>
      <c r="P369" s="90">
        <f>10000+9000</f>
        <v>19000</v>
      </c>
      <c r="Q369" s="84">
        <f>R369+S369+T369+U369+V369</f>
        <v>0</v>
      </c>
      <c r="R369" s="84">
        <v>0</v>
      </c>
      <c r="S369" s="84"/>
      <c r="T369" s="84"/>
      <c r="U369" s="84"/>
      <c r="V369" s="84"/>
      <c r="W369" s="84"/>
      <c r="X369" s="84">
        <f>P369+Q369</f>
        <v>19000</v>
      </c>
      <c r="Y369" s="84"/>
      <c r="Z369" s="84">
        <f t="shared" si="197"/>
        <v>0</v>
      </c>
      <c r="AA369" s="90">
        <f>10000+9000</f>
        <v>19000</v>
      </c>
      <c r="AB369" s="90">
        <f t="shared" si="218"/>
        <v>0</v>
      </c>
      <c r="AC369" s="90">
        <f>10000+9000</f>
        <v>19000</v>
      </c>
      <c r="AD369" s="81"/>
      <c r="AE369" s="81"/>
      <c r="AF369" s="81"/>
    </row>
    <row r="370" spans="1:32" s="82" customFormat="1" ht="25.5" x14ac:dyDescent="0.2">
      <c r="A370" s="170" t="s">
        <v>581</v>
      </c>
      <c r="B370" s="88">
        <v>804</v>
      </c>
      <c r="C370" s="89" t="s">
        <v>567</v>
      </c>
      <c r="D370" s="89" t="s">
        <v>582</v>
      </c>
      <c r="E370" s="89" t="s">
        <v>583</v>
      </c>
      <c r="F370" s="89" t="s">
        <v>584</v>
      </c>
      <c r="G370" s="89"/>
      <c r="H370" s="84"/>
      <c r="I370" s="84"/>
      <c r="J370" s="84"/>
      <c r="K370" s="84"/>
      <c r="L370" s="84"/>
      <c r="M370" s="84"/>
      <c r="N370" s="84"/>
      <c r="O370" s="84"/>
      <c r="P370" s="90"/>
      <c r="Q370" s="84"/>
      <c r="R370" s="84"/>
      <c r="S370" s="84"/>
      <c r="T370" s="84"/>
      <c r="U370" s="84"/>
      <c r="V370" s="84"/>
      <c r="W370" s="84"/>
      <c r="X370" s="84"/>
      <c r="Y370" s="84"/>
      <c r="Z370" s="84">
        <f t="shared" si="197"/>
        <v>267000</v>
      </c>
      <c r="AA370" s="90">
        <v>267000</v>
      </c>
      <c r="AB370" s="90">
        <f t="shared" si="218"/>
        <v>0</v>
      </c>
      <c r="AC370" s="90">
        <v>267000</v>
      </c>
      <c r="AD370" s="81"/>
      <c r="AE370" s="81"/>
      <c r="AF370" s="81"/>
    </row>
    <row r="371" spans="1:32" s="82" customFormat="1" ht="51" x14ac:dyDescent="0.2">
      <c r="A371" s="160" t="s">
        <v>585</v>
      </c>
      <c r="B371" s="88">
        <v>804</v>
      </c>
      <c r="C371" s="89" t="s">
        <v>567</v>
      </c>
      <c r="D371" s="89" t="s">
        <v>586</v>
      </c>
      <c r="E371" s="89" t="s">
        <v>583</v>
      </c>
      <c r="F371" s="89" t="s">
        <v>584</v>
      </c>
      <c r="G371" s="89" t="s">
        <v>378</v>
      </c>
      <c r="H371" s="84"/>
      <c r="I371" s="84"/>
      <c r="J371" s="84"/>
      <c r="K371" s="84"/>
      <c r="L371" s="84"/>
      <c r="M371" s="84"/>
      <c r="N371" s="84"/>
      <c r="O371" s="84"/>
      <c r="P371" s="90"/>
      <c r="Q371" s="84"/>
      <c r="R371" s="84"/>
      <c r="S371" s="84"/>
      <c r="T371" s="84"/>
      <c r="U371" s="84"/>
      <c r="V371" s="84"/>
      <c r="W371" s="84"/>
      <c r="X371" s="84"/>
      <c r="Y371" s="84"/>
      <c r="Z371" s="84">
        <f t="shared" si="197"/>
        <v>314000</v>
      </c>
      <c r="AA371" s="90">
        <v>314000</v>
      </c>
      <c r="AB371" s="90">
        <f t="shared" si="218"/>
        <v>0</v>
      </c>
      <c r="AC371" s="90">
        <v>314000</v>
      </c>
      <c r="AD371" s="81"/>
      <c r="AE371" s="81"/>
      <c r="AF371" s="81"/>
    </row>
    <row r="372" spans="1:32" s="82" customFormat="1" x14ac:dyDescent="0.2">
      <c r="A372" s="171"/>
      <c r="B372" s="88"/>
      <c r="C372" s="89"/>
      <c r="D372" s="89"/>
      <c r="E372" s="89"/>
      <c r="F372" s="89"/>
      <c r="G372" s="89"/>
      <c r="H372" s="84"/>
      <c r="I372" s="84"/>
      <c r="J372" s="84"/>
      <c r="K372" s="84"/>
      <c r="L372" s="84"/>
      <c r="M372" s="84"/>
      <c r="N372" s="84"/>
      <c r="O372" s="84"/>
      <c r="P372" s="90"/>
      <c r="Q372" s="84"/>
      <c r="R372" s="84"/>
      <c r="S372" s="84"/>
      <c r="T372" s="84"/>
      <c r="U372" s="84"/>
      <c r="V372" s="84"/>
      <c r="W372" s="84"/>
      <c r="X372" s="84"/>
      <c r="Y372" s="84"/>
      <c r="Z372" s="84"/>
      <c r="AA372" s="90"/>
      <c r="AB372" s="90"/>
      <c r="AC372" s="90"/>
      <c r="AD372" s="81"/>
      <c r="AE372" s="81"/>
      <c r="AF372" s="81"/>
    </row>
    <row r="373" spans="1:32" s="162" customFormat="1" ht="38.25" x14ac:dyDescent="0.2">
      <c r="A373" s="169" t="s">
        <v>588</v>
      </c>
      <c r="B373" s="77">
        <v>804</v>
      </c>
      <c r="C373" s="78" t="s">
        <v>567</v>
      </c>
      <c r="D373" s="78" t="s">
        <v>589</v>
      </c>
      <c r="E373" s="78" t="s">
        <v>168</v>
      </c>
      <c r="F373" s="78" t="s">
        <v>168</v>
      </c>
      <c r="G373" s="78" t="s">
        <v>340</v>
      </c>
      <c r="H373" s="80">
        <f>SUM(H374:H376)</f>
        <v>116774.25</v>
      </c>
      <c r="I373" s="129"/>
      <c r="J373" s="129"/>
      <c r="K373" s="129"/>
      <c r="L373" s="129"/>
      <c r="M373" s="129"/>
      <c r="N373" s="129"/>
      <c r="O373" s="80">
        <f t="shared" ref="O373:X373" si="219">SUM(O374:O376)</f>
        <v>93419.4</v>
      </c>
      <c r="P373" s="80">
        <f t="shared" si="219"/>
        <v>139500</v>
      </c>
      <c r="Q373" s="80">
        <f t="shared" si="219"/>
        <v>0</v>
      </c>
      <c r="R373" s="80">
        <f t="shared" si="219"/>
        <v>0</v>
      </c>
      <c r="S373" s="80">
        <f t="shared" si="219"/>
        <v>0</v>
      </c>
      <c r="T373" s="80">
        <f t="shared" si="219"/>
        <v>0</v>
      </c>
      <c r="U373" s="80">
        <f t="shared" si="219"/>
        <v>0</v>
      </c>
      <c r="V373" s="80">
        <f t="shared" si="219"/>
        <v>0</v>
      </c>
      <c r="W373" s="80">
        <f t="shared" si="219"/>
        <v>0</v>
      </c>
      <c r="X373" s="80">
        <f t="shared" si="219"/>
        <v>139500</v>
      </c>
      <c r="Y373" s="129"/>
      <c r="Z373" s="129">
        <f t="shared" si="197"/>
        <v>0</v>
      </c>
      <c r="AA373" s="80">
        <f>SUM(AA374:AA376)</f>
        <v>139500</v>
      </c>
      <c r="AB373" s="80">
        <f t="shared" ref="AB373" si="220">SUM(AB374:AB376)</f>
        <v>0</v>
      </c>
      <c r="AC373" s="80">
        <f>SUM(AC374:AC376)</f>
        <v>139500</v>
      </c>
      <c r="AD373" s="161"/>
      <c r="AE373" s="161"/>
      <c r="AF373" s="161"/>
    </row>
    <row r="374" spans="1:32" s="82" customFormat="1" x14ac:dyDescent="0.2">
      <c r="A374" s="87" t="s">
        <v>569</v>
      </c>
      <c r="B374" s="77">
        <v>804</v>
      </c>
      <c r="C374" s="78" t="s">
        <v>567</v>
      </c>
      <c r="D374" s="89" t="s">
        <v>589</v>
      </c>
      <c r="E374" s="89" t="s">
        <v>196</v>
      </c>
      <c r="F374" s="89" t="s">
        <v>229</v>
      </c>
      <c r="G374" s="89"/>
      <c r="H374" s="84">
        <v>30000</v>
      </c>
      <c r="I374" s="84"/>
      <c r="J374" s="84"/>
      <c r="K374" s="84"/>
      <c r="L374" s="84"/>
      <c r="M374" s="84"/>
      <c r="N374" s="84"/>
      <c r="O374" s="84">
        <f>30000*80%</f>
        <v>24000</v>
      </c>
      <c r="P374" s="90">
        <f>13500</f>
        <v>13500</v>
      </c>
      <c r="Q374" s="84">
        <f>R374+S374+T374+U374+V374</f>
        <v>0</v>
      </c>
      <c r="R374" s="84">
        <v>0</v>
      </c>
      <c r="S374" s="84"/>
      <c r="T374" s="84"/>
      <c r="U374" s="84"/>
      <c r="V374" s="84"/>
      <c r="W374" s="84"/>
      <c r="X374" s="84">
        <f>P374+Q374</f>
        <v>13500</v>
      </c>
      <c r="Y374" s="84"/>
      <c r="Z374" s="84">
        <f t="shared" si="197"/>
        <v>0</v>
      </c>
      <c r="AA374" s="90">
        <f>13500</f>
        <v>13500</v>
      </c>
      <c r="AB374" s="90">
        <f t="shared" si="218"/>
        <v>0</v>
      </c>
      <c r="AC374" s="90">
        <f>13500</f>
        <v>13500</v>
      </c>
      <c r="AD374" s="81"/>
      <c r="AE374" s="81"/>
      <c r="AF374" s="81"/>
    </row>
    <row r="375" spans="1:32" s="82" customFormat="1" x14ac:dyDescent="0.2">
      <c r="A375" s="170" t="s">
        <v>577</v>
      </c>
      <c r="B375" s="77">
        <v>804</v>
      </c>
      <c r="C375" s="78" t="s">
        <v>567</v>
      </c>
      <c r="D375" s="89" t="s">
        <v>589</v>
      </c>
      <c r="E375" s="89" t="s">
        <v>190</v>
      </c>
      <c r="F375" s="89" t="s">
        <v>578</v>
      </c>
      <c r="G375" s="89"/>
      <c r="H375" s="84">
        <f>21924.75+21924.75+21924.75</f>
        <v>65774.25</v>
      </c>
      <c r="I375" s="84"/>
      <c r="J375" s="84"/>
      <c r="K375" s="84"/>
      <c r="L375" s="84"/>
      <c r="M375" s="84"/>
      <c r="N375" s="84"/>
      <c r="O375" s="84">
        <f>(21924.75+21924.75+21924.75)*80%</f>
        <v>52619.4</v>
      </c>
      <c r="P375" s="90">
        <f>25000+25000+10000+35000</f>
        <v>95000</v>
      </c>
      <c r="Q375" s="84">
        <f>R375+S375+T375+U375+V375</f>
        <v>0</v>
      </c>
      <c r="R375" s="84">
        <v>0</v>
      </c>
      <c r="S375" s="84"/>
      <c r="T375" s="84"/>
      <c r="U375" s="84"/>
      <c r="V375" s="84"/>
      <c r="W375" s="84"/>
      <c r="X375" s="84">
        <f>P375+Q375</f>
        <v>95000</v>
      </c>
      <c r="Y375" s="84"/>
      <c r="Z375" s="84">
        <f t="shared" si="197"/>
        <v>0</v>
      </c>
      <c r="AA375" s="90">
        <f>25000+25000+10000+35000</f>
        <v>95000</v>
      </c>
      <c r="AB375" s="90">
        <f t="shared" si="218"/>
        <v>0</v>
      </c>
      <c r="AC375" s="90">
        <f>25000+25000+10000+35000</f>
        <v>95000</v>
      </c>
      <c r="AD375" s="81"/>
      <c r="AE375" s="81"/>
      <c r="AF375" s="81"/>
    </row>
    <row r="376" spans="1:32" s="82" customFormat="1" x14ac:dyDescent="0.2">
      <c r="A376" s="170" t="s">
        <v>580</v>
      </c>
      <c r="B376" s="77">
        <v>804</v>
      </c>
      <c r="C376" s="78" t="s">
        <v>567</v>
      </c>
      <c r="D376" s="89" t="s">
        <v>589</v>
      </c>
      <c r="E376" s="89" t="s">
        <v>196</v>
      </c>
      <c r="F376" s="89" t="s">
        <v>212</v>
      </c>
      <c r="G376" s="89"/>
      <c r="H376" s="84">
        <v>21000</v>
      </c>
      <c r="I376" s="84"/>
      <c r="J376" s="84"/>
      <c r="K376" s="84"/>
      <c r="L376" s="84"/>
      <c r="M376" s="84"/>
      <c r="N376" s="84"/>
      <c r="O376" s="84">
        <f>21000*80%</f>
        <v>16800</v>
      </c>
      <c r="P376" s="90">
        <f>21000+10000</f>
        <v>31000</v>
      </c>
      <c r="Q376" s="84">
        <f>R376+S376+T376+U376+V376</f>
        <v>0</v>
      </c>
      <c r="R376" s="84">
        <v>0</v>
      </c>
      <c r="S376" s="84"/>
      <c r="T376" s="84"/>
      <c r="U376" s="84"/>
      <c r="V376" s="84"/>
      <c r="W376" s="84"/>
      <c r="X376" s="84">
        <f>P376+Q376</f>
        <v>31000</v>
      </c>
      <c r="Y376" s="84"/>
      <c r="Z376" s="84">
        <f t="shared" si="197"/>
        <v>0</v>
      </c>
      <c r="AA376" s="90">
        <f>21000+10000</f>
        <v>31000</v>
      </c>
      <c r="AB376" s="90">
        <f t="shared" si="218"/>
        <v>0</v>
      </c>
      <c r="AC376" s="90">
        <f>21000+10000</f>
        <v>31000</v>
      </c>
      <c r="AD376" s="81"/>
      <c r="AE376" s="81"/>
      <c r="AF376" s="81"/>
    </row>
    <row r="377" spans="1:32" s="82" customFormat="1" hidden="1" x14ac:dyDescent="0.2">
      <c r="A377" s="170"/>
      <c r="B377" s="77">
        <v>804</v>
      </c>
      <c r="C377" s="89"/>
      <c r="D377" s="89"/>
      <c r="E377" s="89"/>
      <c r="F377" s="89"/>
      <c r="G377" s="89"/>
      <c r="H377" s="84"/>
      <c r="I377" s="84"/>
      <c r="J377" s="84"/>
      <c r="K377" s="84"/>
      <c r="L377" s="84"/>
      <c r="M377" s="84"/>
      <c r="N377" s="84"/>
      <c r="O377" s="84"/>
      <c r="P377" s="90"/>
      <c r="Q377" s="84"/>
      <c r="R377" s="84"/>
      <c r="S377" s="84"/>
      <c r="T377" s="84"/>
      <c r="U377" s="84"/>
      <c r="V377" s="84"/>
      <c r="W377" s="84"/>
      <c r="X377" s="84"/>
      <c r="Y377" s="84"/>
      <c r="Z377" s="84">
        <f t="shared" si="197"/>
        <v>0</v>
      </c>
      <c r="AA377" s="90"/>
      <c r="AB377" s="90">
        <f t="shared" si="218"/>
        <v>0</v>
      </c>
      <c r="AC377" s="90"/>
      <c r="AD377" s="81"/>
      <c r="AE377" s="81"/>
      <c r="AF377" s="81"/>
    </row>
    <row r="378" spans="1:32" s="82" customFormat="1" ht="15" x14ac:dyDescent="0.25">
      <c r="A378" s="83" t="s">
        <v>590</v>
      </c>
      <c r="B378" s="77">
        <v>804</v>
      </c>
      <c r="C378" s="78" t="s">
        <v>591</v>
      </c>
      <c r="D378" s="78" t="s">
        <v>167</v>
      </c>
      <c r="E378" s="78" t="s">
        <v>168</v>
      </c>
      <c r="F378" s="78" t="s">
        <v>168</v>
      </c>
      <c r="G378" s="78"/>
      <c r="H378" s="79">
        <f>H379</f>
        <v>25859282.649999999</v>
      </c>
      <c r="I378" s="79">
        <f t="shared" ref="I378:N379" si="221">I379</f>
        <v>109200</v>
      </c>
      <c r="J378" s="79">
        <f>J379</f>
        <v>0</v>
      </c>
      <c r="K378" s="79">
        <f t="shared" si="221"/>
        <v>109200</v>
      </c>
      <c r="L378" s="79">
        <f t="shared" si="221"/>
        <v>0</v>
      </c>
      <c r="M378" s="79">
        <f t="shared" si="221"/>
        <v>0</v>
      </c>
      <c r="N378" s="79">
        <f>N379</f>
        <v>25968482.649999999</v>
      </c>
      <c r="O378" s="79">
        <f>O379</f>
        <v>25376976.469999999</v>
      </c>
      <c r="P378" s="80">
        <f>P379</f>
        <v>45229414.269999996</v>
      </c>
      <c r="Q378" s="80" t="e">
        <f t="shared" ref="Q378:X379" si="222">Q379</f>
        <v>#REF!</v>
      </c>
      <c r="R378" s="80" t="e">
        <f>R379</f>
        <v>#REF!</v>
      </c>
      <c r="S378" s="80" t="e">
        <f t="shared" si="222"/>
        <v>#REF!</v>
      </c>
      <c r="T378" s="80" t="e">
        <f t="shared" si="222"/>
        <v>#REF!</v>
      </c>
      <c r="U378" s="80" t="e">
        <f t="shared" si="222"/>
        <v>#REF!</v>
      </c>
      <c r="V378" s="80" t="e">
        <f t="shared" si="222"/>
        <v>#REF!</v>
      </c>
      <c r="W378" s="80"/>
      <c r="X378" s="80" t="e">
        <f t="shared" si="222"/>
        <v>#REF!</v>
      </c>
      <c r="Y378" s="79"/>
      <c r="Z378" s="79">
        <f t="shared" si="197"/>
        <v>17993.429999999702</v>
      </c>
      <c r="AA378" s="245">
        <f>AA379</f>
        <v>45247407.699999996</v>
      </c>
      <c r="AB378" s="245">
        <f t="shared" ref="AB378" si="223">AB379</f>
        <v>-200000</v>
      </c>
      <c r="AC378" s="245">
        <f>AC379</f>
        <v>45047407.699999996</v>
      </c>
      <c r="AD378" s="81"/>
      <c r="AE378" s="81"/>
      <c r="AF378" s="81"/>
    </row>
    <row r="379" spans="1:32" s="82" customFormat="1" ht="25.5" x14ac:dyDescent="0.2">
      <c r="A379" s="83" t="s">
        <v>592</v>
      </c>
      <c r="B379" s="77">
        <v>804</v>
      </c>
      <c r="C379" s="78" t="s">
        <v>248</v>
      </c>
      <c r="D379" s="78" t="s">
        <v>167</v>
      </c>
      <c r="E379" s="78" t="s">
        <v>168</v>
      </c>
      <c r="F379" s="78" t="s">
        <v>168</v>
      </c>
      <c r="G379" s="78"/>
      <c r="H379" s="79">
        <f>H380</f>
        <v>25859282.649999999</v>
      </c>
      <c r="I379" s="79">
        <f t="shared" si="221"/>
        <v>109200</v>
      </c>
      <c r="J379" s="79">
        <f t="shared" si="221"/>
        <v>0</v>
      </c>
      <c r="K379" s="79">
        <f t="shared" si="221"/>
        <v>109200</v>
      </c>
      <c r="L379" s="79">
        <f t="shared" si="221"/>
        <v>0</v>
      </c>
      <c r="M379" s="79">
        <f t="shared" si="221"/>
        <v>0</v>
      </c>
      <c r="N379" s="79">
        <f t="shared" si="221"/>
        <v>25968482.649999999</v>
      </c>
      <c r="O379" s="79">
        <f>O380</f>
        <v>25376976.469999999</v>
      </c>
      <c r="P379" s="80">
        <f>P380+P386</f>
        <v>45229414.269999996</v>
      </c>
      <c r="Q379" s="80" t="e">
        <f t="shared" si="222"/>
        <v>#REF!</v>
      </c>
      <c r="R379" s="80" t="e">
        <f t="shared" si="222"/>
        <v>#REF!</v>
      </c>
      <c r="S379" s="80" t="e">
        <f t="shared" si="222"/>
        <v>#REF!</v>
      </c>
      <c r="T379" s="80" t="e">
        <f t="shared" si="222"/>
        <v>#REF!</v>
      </c>
      <c r="U379" s="80" t="e">
        <f t="shared" si="222"/>
        <v>#REF!</v>
      </c>
      <c r="V379" s="80" t="e">
        <f t="shared" si="222"/>
        <v>#REF!</v>
      </c>
      <c r="W379" s="80"/>
      <c r="X379" s="80" t="e">
        <f>X380</f>
        <v>#REF!</v>
      </c>
      <c r="Y379" s="79"/>
      <c r="Z379" s="79">
        <f t="shared" si="197"/>
        <v>17993.429999999702</v>
      </c>
      <c r="AA379" s="80">
        <f>AA380+AA386</f>
        <v>45247407.699999996</v>
      </c>
      <c r="AB379" s="80">
        <f t="shared" ref="AB379" si="224">AB380+AB386</f>
        <v>-200000</v>
      </c>
      <c r="AC379" s="80">
        <f>AC380+AC386</f>
        <v>45047407.699999996</v>
      </c>
      <c r="AD379" s="81"/>
      <c r="AE379" s="81"/>
      <c r="AF379" s="81"/>
    </row>
    <row r="380" spans="1:32" s="82" customFormat="1" ht="38.25" x14ac:dyDescent="0.2">
      <c r="A380" s="83" t="s">
        <v>593</v>
      </c>
      <c r="B380" s="77">
        <v>804</v>
      </c>
      <c r="C380" s="78" t="s">
        <v>248</v>
      </c>
      <c r="D380" s="78" t="s">
        <v>167</v>
      </c>
      <c r="E380" s="78" t="s">
        <v>168</v>
      </c>
      <c r="F380" s="78" t="s">
        <v>168</v>
      </c>
      <c r="G380" s="78"/>
      <c r="H380" s="79">
        <f t="shared" ref="H380:O380" si="225">H381</f>
        <v>25859282.649999999</v>
      </c>
      <c r="I380" s="79">
        <f t="shared" si="225"/>
        <v>109200</v>
      </c>
      <c r="J380" s="79">
        <f t="shared" si="225"/>
        <v>0</v>
      </c>
      <c r="K380" s="79">
        <f t="shared" si="225"/>
        <v>109200</v>
      </c>
      <c r="L380" s="79">
        <f t="shared" si="225"/>
        <v>0</v>
      </c>
      <c r="M380" s="79">
        <f t="shared" si="225"/>
        <v>0</v>
      </c>
      <c r="N380" s="79">
        <f t="shared" si="225"/>
        <v>25968482.649999999</v>
      </c>
      <c r="O380" s="79">
        <f t="shared" si="225"/>
        <v>25376976.469999999</v>
      </c>
      <c r="P380" s="80">
        <f>P381</f>
        <v>36482331.869999997</v>
      </c>
      <c r="Q380" s="80" t="e">
        <f>Q381+#REF!+#REF!</f>
        <v>#REF!</v>
      </c>
      <c r="R380" s="80" t="e">
        <f>R381+#REF!+#REF!</f>
        <v>#REF!</v>
      </c>
      <c r="S380" s="80" t="e">
        <f>S381+#REF!+#REF!</f>
        <v>#REF!</v>
      </c>
      <c r="T380" s="80" t="e">
        <f>T381+#REF!+#REF!</f>
        <v>#REF!</v>
      </c>
      <c r="U380" s="80" t="e">
        <f>U381+#REF!+#REF!</f>
        <v>#REF!</v>
      </c>
      <c r="V380" s="80" t="e">
        <f>V381+#REF!+#REF!</f>
        <v>#REF!</v>
      </c>
      <c r="W380" s="80"/>
      <c r="X380" s="80" t="e">
        <f>X381+#REF!+#REF!</f>
        <v>#REF!</v>
      </c>
      <c r="Y380" s="79"/>
      <c r="Z380" s="79">
        <f t="shared" si="197"/>
        <v>17993.429999999702</v>
      </c>
      <c r="AA380" s="80">
        <f>AA381</f>
        <v>36500325.299999997</v>
      </c>
      <c r="AB380" s="80">
        <f t="shared" ref="AB380" si="226">AB381</f>
        <v>0</v>
      </c>
      <c r="AC380" s="80">
        <f>AC381</f>
        <v>36500325.299999997</v>
      </c>
      <c r="AD380" s="81"/>
      <c r="AE380" s="81"/>
      <c r="AF380" s="81"/>
    </row>
    <row r="381" spans="1:32" s="82" customFormat="1" x14ac:dyDescent="0.2">
      <c r="A381" s="76" t="s">
        <v>372</v>
      </c>
      <c r="B381" s="77">
        <v>804</v>
      </c>
      <c r="C381" s="78" t="s">
        <v>248</v>
      </c>
      <c r="D381" s="78" t="s">
        <v>167</v>
      </c>
      <c r="E381" s="78" t="s">
        <v>168</v>
      </c>
      <c r="F381" s="78" t="s">
        <v>168</v>
      </c>
      <c r="G381" s="78"/>
      <c r="H381" s="79">
        <f t="shared" ref="H381:O381" si="227">SUM(H382:H389)</f>
        <v>25859282.649999999</v>
      </c>
      <c r="I381" s="79">
        <f t="shared" si="227"/>
        <v>109200</v>
      </c>
      <c r="J381" s="79">
        <f t="shared" si="227"/>
        <v>0</v>
      </c>
      <c r="K381" s="79">
        <f t="shared" si="227"/>
        <v>109200</v>
      </c>
      <c r="L381" s="79">
        <f t="shared" si="227"/>
        <v>0</v>
      </c>
      <c r="M381" s="79">
        <f t="shared" si="227"/>
        <v>0</v>
      </c>
      <c r="N381" s="79">
        <f t="shared" si="227"/>
        <v>25968482.649999999</v>
      </c>
      <c r="O381" s="79">
        <f t="shared" si="227"/>
        <v>25376976.469999999</v>
      </c>
      <c r="P381" s="80">
        <f>P382+P383+P384+P385</f>
        <v>36482331.869999997</v>
      </c>
      <c r="Q381" s="80">
        <f t="shared" ref="Q381:X381" si="228">SUM(Q382:Q390)</f>
        <v>0</v>
      </c>
      <c r="R381" s="80">
        <f t="shared" si="228"/>
        <v>0</v>
      </c>
      <c r="S381" s="80">
        <f t="shared" si="228"/>
        <v>0</v>
      </c>
      <c r="T381" s="80">
        <f t="shared" si="228"/>
        <v>0</v>
      </c>
      <c r="U381" s="80">
        <f t="shared" si="228"/>
        <v>0</v>
      </c>
      <c r="V381" s="80">
        <f t="shared" si="228"/>
        <v>0</v>
      </c>
      <c r="W381" s="80">
        <f t="shared" si="228"/>
        <v>0</v>
      </c>
      <c r="X381" s="80">
        <f t="shared" si="228"/>
        <v>44929414.269999996</v>
      </c>
      <c r="Y381" s="79"/>
      <c r="Z381" s="79">
        <f t="shared" si="197"/>
        <v>17993.429999999702</v>
      </c>
      <c r="AA381" s="80">
        <f>AA382+AA383+AA384+AA385</f>
        <v>36500325.299999997</v>
      </c>
      <c r="AB381" s="80">
        <f t="shared" ref="AB381" si="229">AB382+AB383+AB384+AB385</f>
        <v>0</v>
      </c>
      <c r="AC381" s="80">
        <f>AC382+AC383+AC384+AC385</f>
        <v>36500325.299999997</v>
      </c>
      <c r="AD381" s="81"/>
      <c r="AE381" s="81"/>
      <c r="AF381" s="81"/>
    </row>
    <row r="382" spans="1:32" s="82" customFormat="1" ht="63.75" x14ac:dyDescent="0.2">
      <c r="A382" s="87" t="s">
        <v>594</v>
      </c>
      <c r="B382" s="126" t="s">
        <v>289</v>
      </c>
      <c r="C382" s="89" t="s">
        <v>248</v>
      </c>
      <c r="D382" s="89" t="s">
        <v>595</v>
      </c>
      <c r="E382" s="89" t="s">
        <v>547</v>
      </c>
      <c r="F382" s="89" t="s">
        <v>548</v>
      </c>
      <c r="G382" s="89" t="s">
        <v>549</v>
      </c>
      <c r="H382" s="84">
        <v>24002882.649999999</v>
      </c>
      <c r="I382" s="84">
        <f t="shared" ref="I382:I387" si="230">SUM(J382:M382)</f>
        <v>0</v>
      </c>
      <c r="J382" s="84"/>
      <c r="K382" s="84"/>
      <c r="L382" s="84"/>
      <c r="M382" s="84"/>
      <c r="N382" s="84">
        <f t="shared" ref="N382:N389" si="231">H382+I382</f>
        <v>24002882.649999999</v>
      </c>
      <c r="O382" s="84">
        <f>24002882.65-482306.18</f>
        <v>23520576.469999999</v>
      </c>
      <c r="P382" s="90">
        <v>36040447.869999997</v>
      </c>
      <c r="Q382" s="84">
        <f>R382+S382+T382+U382+V382</f>
        <v>0</v>
      </c>
      <c r="R382" s="84">
        <v>0</v>
      </c>
      <c r="S382" s="84"/>
      <c r="T382" s="84"/>
      <c r="U382" s="84">
        <v>0</v>
      </c>
      <c r="V382" s="84">
        <v>0</v>
      </c>
      <c r="W382" s="84"/>
      <c r="X382" s="84">
        <f t="shared" ref="X382:X390" si="232">P382+Q382</f>
        <v>36040447.869999997</v>
      </c>
      <c r="Y382" s="84"/>
      <c r="Z382" s="84">
        <f t="shared" si="197"/>
        <v>0</v>
      </c>
      <c r="AA382" s="90">
        <v>36040447.869999997</v>
      </c>
      <c r="AB382" s="90">
        <f t="shared" ref="AB382:AB390" si="233">AC382-AA382</f>
        <v>0</v>
      </c>
      <c r="AC382" s="90">
        <v>36040447.869999997</v>
      </c>
      <c r="AD382" s="81"/>
      <c r="AE382" s="81"/>
      <c r="AF382" s="81"/>
    </row>
    <row r="383" spans="1:32" s="82" customFormat="1" ht="38.25" x14ac:dyDescent="0.2">
      <c r="A383" s="87" t="s">
        <v>596</v>
      </c>
      <c r="B383" s="126" t="s">
        <v>289</v>
      </c>
      <c r="C383" s="89" t="s">
        <v>248</v>
      </c>
      <c r="D383" s="89" t="s">
        <v>595</v>
      </c>
      <c r="E383" s="89" t="s">
        <v>547</v>
      </c>
      <c r="F383" s="89" t="s">
        <v>548</v>
      </c>
      <c r="G383" s="89" t="s">
        <v>549</v>
      </c>
      <c r="H383" s="84"/>
      <c r="I383" s="84"/>
      <c r="J383" s="84"/>
      <c r="K383" s="84"/>
      <c r="L383" s="84"/>
      <c r="M383" s="84"/>
      <c r="N383" s="84"/>
      <c r="O383" s="84"/>
      <c r="P383" s="90"/>
      <c r="Q383" s="84"/>
      <c r="R383" s="84"/>
      <c r="S383" s="84"/>
      <c r="T383" s="84"/>
      <c r="U383" s="84"/>
      <c r="V383" s="84"/>
      <c r="W383" s="84"/>
      <c r="X383" s="84"/>
      <c r="Y383" s="84"/>
      <c r="Z383" s="84">
        <f t="shared" si="197"/>
        <v>17993.43</v>
      </c>
      <c r="AA383" s="90">
        <v>17993.43</v>
      </c>
      <c r="AB383" s="90">
        <f t="shared" si="233"/>
        <v>0</v>
      </c>
      <c r="AC383" s="90">
        <v>17993.43</v>
      </c>
      <c r="AD383" s="81"/>
      <c r="AE383" s="81"/>
      <c r="AF383" s="81"/>
    </row>
    <row r="384" spans="1:32" s="82" customFormat="1" ht="25.5" x14ac:dyDescent="0.2">
      <c r="A384" s="87" t="s">
        <v>597</v>
      </c>
      <c r="B384" s="126" t="s">
        <v>289</v>
      </c>
      <c r="C384" s="89" t="s">
        <v>248</v>
      </c>
      <c r="D384" s="89" t="s">
        <v>598</v>
      </c>
      <c r="E384" s="89" t="s">
        <v>547</v>
      </c>
      <c r="F384" s="89" t="s">
        <v>548</v>
      </c>
      <c r="G384" s="89" t="s">
        <v>549</v>
      </c>
      <c r="H384" s="84"/>
      <c r="I384" s="84"/>
      <c r="J384" s="84"/>
      <c r="K384" s="84"/>
      <c r="L384" s="84"/>
      <c r="M384" s="84"/>
      <c r="N384" s="84"/>
      <c r="O384" s="84"/>
      <c r="P384" s="90">
        <f>40000+10000+50000</f>
        <v>100000</v>
      </c>
      <c r="Q384" s="84">
        <f t="shared" ref="Q384:Q390" si="234">R384+S384+T384+U384+V384</f>
        <v>0</v>
      </c>
      <c r="R384" s="84">
        <v>0</v>
      </c>
      <c r="S384" s="84"/>
      <c r="T384" s="84"/>
      <c r="U384" s="84">
        <v>0</v>
      </c>
      <c r="V384" s="84"/>
      <c r="W384" s="84"/>
      <c r="X384" s="84">
        <f t="shared" si="232"/>
        <v>100000</v>
      </c>
      <c r="Y384" s="84" t="s">
        <v>227</v>
      </c>
      <c r="Z384" s="84">
        <f t="shared" si="197"/>
        <v>0</v>
      </c>
      <c r="AA384" s="90">
        <f>40000+10000+50000</f>
        <v>100000</v>
      </c>
      <c r="AB384" s="90">
        <f t="shared" si="233"/>
        <v>0</v>
      </c>
      <c r="AC384" s="90">
        <f>40000+10000+50000</f>
        <v>100000</v>
      </c>
      <c r="AD384" s="81"/>
      <c r="AE384" s="81"/>
      <c r="AF384" s="81"/>
    </row>
    <row r="385" spans="1:32" s="82" customFormat="1" ht="25.5" x14ac:dyDescent="0.2">
      <c r="A385" s="87" t="s">
        <v>599</v>
      </c>
      <c r="B385" s="126" t="s">
        <v>289</v>
      </c>
      <c r="C385" s="89" t="s">
        <v>248</v>
      </c>
      <c r="D385" s="89" t="s">
        <v>600</v>
      </c>
      <c r="E385" s="89" t="s">
        <v>547</v>
      </c>
      <c r="F385" s="89" t="s">
        <v>548</v>
      </c>
      <c r="G385" s="89" t="s">
        <v>549</v>
      </c>
      <c r="H385" s="84"/>
      <c r="I385" s="84"/>
      <c r="J385" s="84"/>
      <c r="K385" s="84"/>
      <c r="L385" s="84"/>
      <c r="M385" s="84"/>
      <c r="N385" s="84"/>
      <c r="O385" s="84"/>
      <c r="P385" s="90">
        <f>136000+69884+136000</f>
        <v>341884</v>
      </c>
      <c r="Q385" s="84">
        <f t="shared" si="234"/>
        <v>0</v>
      </c>
      <c r="R385" s="84">
        <v>0</v>
      </c>
      <c r="S385" s="84"/>
      <c r="T385" s="84"/>
      <c r="U385" s="84"/>
      <c r="V385" s="84"/>
      <c r="W385" s="84"/>
      <c r="X385" s="84">
        <f t="shared" si="232"/>
        <v>341884</v>
      </c>
      <c r="Y385" s="84" t="s">
        <v>227</v>
      </c>
      <c r="Z385" s="84">
        <f t="shared" si="197"/>
        <v>0</v>
      </c>
      <c r="AA385" s="90">
        <f>136000+69884+136000</f>
        <v>341884</v>
      </c>
      <c r="AB385" s="90">
        <f t="shared" si="233"/>
        <v>0</v>
      </c>
      <c r="AC385" s="90">
        <f>136000+69884+136000</f>
        <v>341884</v>
      </c>
      <c r="AD385" s="81"/>
      <c r="AE385" s="81"/>
      <c r="AF385" s="81"/>
    </row>
    <row r="386" spans="1:32" s="82" customFormat="1" x14ac:dyDescent="0.2">
      <c r="A386" s="76" t="s">
        <v>371</v>
      </c>
      <c r="B386" s="128" t="s">
        <v>289</v>
      </c>
      <c r="C386" s="78" t="s">
        <v>483</v>
      </c>
      <c r="D386" s="78" t="s">
        <v>601</v>
      </c>
      <c r="E386" s="78" t="s">
        <v>196</v>
      </c>
      <c r="F386" s="78" t="s">
        <v>168</v>
      </c>
      <c r="G386" s="78"/>
      <c r="H386" s="79"/>
      <c r="I386" s="79"/>
      <c r="J386" s="79"/>
      <c r="K386" s="79"/>
      <c r="L386" s="79"/>
      <c r="M386" s="79"/>
      <c r="N386" s="79"/>
      <c r="O386" s="79"/>
      <c r="P386" s="80">
        <f>P387+P388+P389+P390</f>
        <v>8747082.4000000004</v>
      </c>
      <c r="Q386" s="79"/>
      <c r="R386" s="79"/>
      <c r="S386" s="79"/>
      <c r="T386" s="79"/>
      <c r="U386" s="79"/>
      <c r="V386" s="79"/>
      <c r="W386" s="79"/>
      <c r="X386" s="79"/>
      <c r="Y386" s="79"/>
      <c r="Z386" s="80">
        <f t="shared" si="197"/>
        <v>0</v>
      </c>
      <c r="AA386" s="80">
        <f>AA387+AA388+AA389+AA390</f>
        <v>8747082.4000000004</v>
      </c>
      <c r="AB386" s="80">
        <f t="shared" ref="AB386" si="235">AB387+AB388+AB389+AB390</f>
        <v>-200000</v>
      </c>
      <c r="AC386" s="80">
        <f>AC387+AC388+AC389+AC390</f>
        <v>8547082.4000000004</v>
      </c>
      <c r="AD386" s="81"/>
      <c r="AE386" s="81"/>
      <c r="AF386" s="81"/>
    </row>
    <row r="387" spans="1:32" s="82" customFormat="1" ht="38.25" x14ac:dyDescent="0.2">
      <c r="A387" s="87" t="s">
        <v>553</v>
      </c>
      <c r="B387" s="126" t="s">
        <v>289</v>
      </c>
      <c r="C387" s="89" t="s">
        <v>248</v>
      </c>
      <c r="D387" s="89" t="s">
        <v>602</v>
      </c>
      <c r="E387" s="89" t="s">
        <v>555</v>
      </c>
      <c r="F387" s="89" t="s">
        <v>548</v>
      </c>
      <c r="G387" s="89" t="s">
        <v>556</v>
      </c>
      <c r="H387" s="84">
        <v>618800</v>
      </c>
      <c r="I387" s="84">
        <f t="shared" si="230"/>
        <v>36400</v>
      </c>
      <c r="J387" s="84"/>
      <c r="K387" s="84">
        <v>36400</v>
      </c>
      <c r="L387" s="84"/>
      <c r="M387" s="84"/>
      <c r="N387" s="84">
        <f t="shared" si="231"/>
        <v>655200</v>
      </c>
      <c r="O387" s="84">
        <v>618800</v>
      </c>
      <c r="P387" s="90">
        <v>1217544</v>
      </c>
      <c r="Q387" s="84">
        <f t="shared" si="234"/>
        <v>0</v>
      </c>
      <c r="R387" s="84"/>
      <c r="S387" s="84"/>
      <c r="T387" s="84"/>
      <c r="U387" s="84">
        <v>0</v>
      </c>
      <c r="V387" s="84"/>
      <c r="W387" s="84"/>
      <c r="X387" s="84">
        <f t="shared" si="232"/>
        <v>1217544</v>
      </c>
      <c r="Y387" s="84"/>
      <c r="Z387" s="84">
        <f t="shared" si="197"/>
        <v>0</v>
      </c>
      <c r="AA387" s="90">
        <v>1217544</v>
      </c>
      <c r="AB387" s="90">
        <f t="shared" si="233"/>
        <v>0</v>
      </c>
      <c r="AC387" s="90">
        <v>1217544</v>
      </c>
      <c r="AD387" s="81"/>
      <c r="AE387" s="81"/>
      <c r="AF387" s="81"/>
    </row>
    <row r="388" spans="1:32" s="82" customFormat="1" ht="38.25" x14ac:dyDescent="0.2">
      <c r="A388" s="87" t="s">
        <v>603</v>
      </c>
      <c r="B388" s="126" t="s">
        <v>289</v>
      </c>
      <c r="C388" s="89" t="s">
        <v>248</v>
      </c>
      <c r="D388" s="89" t="s">
        <v>602</v>
      </c>
      <c r="E388" s="89" t="s">
        <v>555</v>
      </c>
      <c r="F388" s="89" t="s">
        <v>548</v>
      </c>
      <c r="G388" s="89" t="s">
        <v>604</v>
      </c>
      <c r="H388" s="84">
        <v>618800</v>
      </c>
      <c r="I388" s="84">
        <f t="shared" ref="I388" si="236">SUM(J388:M388)</f>
        <v>36400</v>
      </c>
      <c r="J388" s="84"/>
      <c r="K388" s="84">
        <v>36400</v>
      </c>
      <c r="L388" s="84"/>
      <c r="M388" s="84"/>
      <c r="N388" s="84">
        <f t="shared" si="231"/>
        <v>655200</v>
      </c>
      <c r="O388" s="84">
        <v>618800</v>
      </c>
      <c r="P388" s="90">
        <v>300000</v>
      </c>
      <c r="Q388" s="84">
        <f t="shared" si="234"/>
        <v>0</v>
      </c>
      <c r="R388" s="84"/>
      <c r="S388" s="84"/>
      <c r="T388" s="84"/>
      <c r="U388" s="84">
        <v>0</v>
      </c>
      <c r="V388" s="84"/>
      <c r="W388" s="84"/>
      <c r="X388" s="84">
        <f t="shared" si="232"/>
        <v>300000</v>
      </c>
      <c r="Y388" s="84"/>
      <c r="Z388" s="84">
        <f t="shared" si="197"/>
        <v>0</v>
      </c>
      <c r="AA388" s="90">
        <v>300000</v>
      </c>
      <c r="AB388" s="90">
        <f t="shared" si="233"/>
        <v>0</v>
      </c>
      <c r="AC388" s="90">
        <v>300000</v>
      </c>
      <c r="AD388" s="81"/>
      <c r="AE388" s="81"/>
      <c r="AF388" s="81"/>
    </row>
    <row r="389" spans="1:32" s="82" customFormat="1" ht="38.25" x14ac:dyDescent="0.2">
      <c r="A389" s="160" t="s">
        <v>605</v>
      </c>
      <c r="B389" s="126" t="s">
        <v>289</v>
      </c>
      <c r="C389" s="89" t="s">
        <v>248</v>
      </c>
      <c r="D389" s="89" t="s">
        <v>602</v>
      </c>
      <c r="E389" s="89" t="s">
        <v>555</v>
      </c>
      <c r="F389" s="89" t="s">
        <v>548</v>
      </c>
      <c r="G389" s="89" t="s">
        <v>378</v>
      </c>
      <c r="H389" s="84">
        <v>618800</v>
      </c>
      <c r="I389" s="84">
        <f t="shared" ref="I389" si="237">SUM(J389:M389)</f>
        <v>36400</v>
      </c>
      <c r="J389" s="84"/>
      <c r="K389" s="84">
        <v>36400</v>
      </c>
      <c r="L389" s="84"/>
      <c r="M389" s="84"/>
      <c r="N389" s="84">
        <f t="shared" si="231"/>
        <v>655200</v>
      </c>
      <c r="O389" s="84">
        <v>618800</v>
      </c>
      <c r="P389" s="90">
        <v>300000</v>
      </c>
      <c r="Q389" s="84"/>
      <c r="R389" s="84"/>
      <c r="S389" s="84"/>
      <c r="T389" s="84"/>
      <c r="U389" s="84"/>
      <c r="V389" s="84"/>
      <c r="W389" s="84"/>
      <c r="X389" s="84"/>
      <c r="Y389" s="84"/>
      <c r="Z389" s="84">
        <f t="shared" si="197"/>
        <v>0</v>
      </c>
      <c r="AA389" s="90">
        <v>300000</v>
      </c>
      <c r="AB389" s="90">
        <f t="shared" si="233"/>
        <v>-200000</v>
      </c>
      <c r="AC389" s="90">
        <v>100000</v>
      </c>
      <c r="AD389" s="81"/>
      <c r="AE389" s="81"/>
      <c r="AF389" s="81"/>
    </row>
    <row r="390" spans="1:32" s="82" customFormat="1" ht="38.25" x14ac:dyDescent="0.2">
      <c r="A390" s="87" t="s">
        <v>606</v>
      </c>
      <c r="B390" s="126" t="s">
        <v>289</v>
      </c>
      <c r="C390" s="89" t="s">
        <v>248</v>
      </c>
      <c r="D390" s="89" t="s">
        <v>602</v>
      </c>
      <c r="E390" s="89" t="s">
        <v>555</v>
      </c>
      <c r="F390" s="89" t="s">
        <v>548</v>
      </c>
      <c r="G390" s="89" t="s">
        <v>378</v>
      </c>
      <c r="H390" s="84"/>
      <c r="I390" s="84"/>
      <c r="J390" s="84"/>
      <c r="K390" s="84"/>
      <c r="L390" s="84"/>
      <c r="M390" s="84"/>
      <c r="N390" s="84"/>
      <c r="O390" s="84"/>
      <c r="P390" s="90">
        <v>6929538.4000000004</v>
      </c>
      <c r="Q390" s="84">
        <f t="shared" si="234"/>
        <v>0</v>
      </c>
      <c r="R390" s="84"/>
      <c r="S390" s="84"/>
      <c r="T390" s="84">
        <v>0</v>
      </c>
      <c r="U390" s="84"/>
      <c r="V390" s="84"/>
      <c r="W390" s="84"/>
      <c r="X390" s="84">
        <f t="shared" si="232"/>
        <v>6929538.4000000004</v>
      </c>
      <c r="Y390" s="84"/>
      <c r="Z390" s="84">
        <f t="shared" si="197"/>
        <v>0</v>
      </c>
      <c r="AA390" s="90">
        <v>6929538.4000000004</v>
      </c>
      <c r="AB390" s="90">
        <f t="shared" si="233"/>
        <v>0</v>
      </c>
      <c r="AC390" s="90">
        <v>6929538.4000000004</v>
      </c>
      <c r="AD390" s="81"/>
      <c r="AE390" s="81"/>
      <c r="AF390" s="81"/>
    </row>
    <row r="391" spans="1:32" s="82" customFormat="1" ht="26.25" x14ac:dyDescent="0.25">
      <c r="A391" s="83" t="s">
        <v>607</v>
      </c>
      <c r="B391" s="126" t="s">
        <v>289</v>
      </c>
      <c r="C391" s="78" t="s">
        <v>340</v>
      </c>
      <c r="D391" s="78" t="s">
        <v>167</v>
      </c>
      <c r="E391" s="78" t="s">
        <v>168</v>
      </c>
      <c r="F391" s="78" t="s">
        <v>168</v>
      </c>
      <c r="G391" s="78"/>
      <c r="H391" s="79" t="e">
        <f>#REF!+H392</f>
        <v>#REF!</v>
      </c>
      <c r="I391" s="79" t="e">
        <f>#REF!+I392</f>
        <v>#REF!</v>
      </c>
      <c r="J391" s="79" t="e">
        <f>#REF!+J392</f>
        <v>#REF!</v>
      </c>
      <c r="K391" s="79" t="e">
        <f>#REF!+K392</f>
        <v>#REF!</v>
      </c>
      <c r="L391" s="79" t="e">
        <f>#REF!+L392</f>
        <v>#REF!</v>
      </c>
      <c r="M391" s="79" t="e">
        <f>#REF!+M392</f>
        <v>#REF!</v>
      </c>
      <c r="N391" s="79" t="e">
        <f>#REF!+N392</f>
        <v>#REF!</v>
      </c>
      <c r="O391" s="79" t="e">
        <f>#REF!+O392</f>
        <v>#REF!</v>
      </c>
      <c r="P391" s="80">
        <f>P392</f>
        <v>835127.44</v>
      </c>
      <c r="Q391" s="80" t="e">
        <f>#REF!+Q392</f>
        <v>#REF!</v>
      </c>
      <c r="R391" s="80" t="e">
        <f>#REF!+R392</f>
        <v>#REF!</v>
      </c>
      <c r="S391" s="80" t="e">
        <f>#REF!+S392</f>
        <v>#REF!</v>
      </c>
      <c r="T391" s="80" t="e">
        <f>#REF!+T392</f>
        <v>#REF!</v>
      </c>
      <c r="U391" s="80" t="e">
        <f>#REF!+U392</f>
        <v>#REF!</v>
      </c>
      <c r="V391" s="80" t="e">
        <f>#REF!+V392</f>
        <v>#REF!</v>
      </c>
      <c r="W391" s="80"/>
      <c r="X391" s="80" t="e">
        <f>#REF!+X392</f>
        <v>#REF!</v>
      </c>
      <c r="Y391" s="84"/>
      <c r="Z391" s="84">
        <f t="shared" si="197"/>
        <v>0</v>
      </c>
      <c r="AA391" s="245">
        <f>AA392</f>
        <v>835127.44</v>
      </c>
      <c r="AB391" s="245">
        <f t="shared" ref="AB391:AB392" si="238">AB392</f>
        <v>0</v>
      </c>
      <c r="AC391" s="245">
        <f>AC392</f>
        <v>835127.44</v>
      </c>
      <c r="AD391" s="81"/>
      <c r="AE391" s="81"/>
      <c r="AF391" s="81"/>
    </row>
    <row r="392" spans="1:32" s="82" customFormat="1" ht="25.5" x14ac:dyDescent="0.2">
      <c r="A392" s="83" t="s">
        <v>608</v>
      </c>
      <c r="B392" s="77">
        <v>804</v>
      </c>
      <c r="C392" s="78" t="s">
        <v>609</v>
      </c>
      <c r="D392" s="78" t="s">
        <v>610</v>
      </c>
      <c r="E392" s="78" t="s">
        <v>611</v>
      </c>
      <c r="F392" s="78" t="s">
        <v>612</v>
      </c>
      <c r="G392" s="78"/>
      <c r="H392" s="79">
        <f t="shared" ref="H392:X393" si="239">H393</f>
        <v>773104.95</v>
      </c>
      <c r="I392" s="79">
        <f t="shared" si="239"/>
        <v>0</v>
      </c>
      <c r="J392" s="79">
        <f t="shared" si="239"/>
        <v>0</v>
      </c>
      <c r="K392" s="79">
        <f t="shared" si="239"/>
        <v>0</v>
      </c>
      <c r="L392" s="79">
        <f t="shared" si="239"/>
        <v>0</v>
      </c>
      <c r="M392" s="79">
        <f t="shared" si="239"/>
        <v>0</v>
      </c>
      <c r="N392" s="79">
        <f t="shared" si="239"/>
        <v>773104.95</v>
      </c>
      <c r="O392" s="79">
        <f t="shared" si="239"/>
        <v>773104.95</v>
      </c>
      <c r="P392" s="80">
        <f>P393</f>
        <v>835127.44</v>
      </c>
      <c r="Q392" s="80">
        <f t="shared" si="239"/>
        <v>0</v>
      </c>
      <c r="R392" s="80">
        <f>R393</f>
        <v>0</v>
      </c>
      <c r="S392" s="80">
        <f t="shared" si="239"/>
        <v>0</v>
      </c>
      <c r="T392" s="80">
        <f t="shared" si="239"/>
        <v>0</v>
      </c>
      <c r="U392" s="80">
        <f t="shared" si="239"/>
        <v>0</v>
      </c>
      <c r="V392" s="80">
        <f t="shared" si="239"/>
        <v>0</v>
      </c>
      <c r="W392" s="80"/>
      <c r="X392" s="80">
        <f t="shared" si="239"/>
        <v>835127.44</v>
      </c>
      <c r="Y392" s="84"/>
      <c r="Z392" s="84">
        <f t="shared" si="197"/>
        <v>0</v>
      </c>
      <c r="AA392" s="80">
        <f>AA393</f>
        <v>835127.44</v>
      </c>
      <c r="AB392" s="80">
        <f t="shared" si="238"/>
        <v>0</v>
      </c>
      <c r="AC392" s="80">
        <f>AC393</f>
        <v>835127.44</v>
      </c>
      <c r="AD392" s="81"/>
      <c r="AE392" s="81"/>
      <c r="AF392" s="81"/>
    </row>
    <row r="393" spans="1:32" s="82" customFormat="1" x14ac:dyDescent="0.2">
      <c r="A393" s="158" t="s">
        <v>613</v>
      </c>
      <c r="B393" s="88">
        <v>804</v>
      </c>
      <c r="C393" s="89" t="s">
        <v>609</v>
      </c>
      <c r="D393" s="89" t="s">
        <v>610</v>
      </c>
      <c r="E393" s="89" t="s">
        <v>611</v>
      </c>
      <c r="F393" s="89" t="s">
        <v>614</v>
      </c>
      <c r="G393" s="89"/>
      <c r="H393" s="84">
        <f>H394</f>
        <v>773104.95</v>
      </c>
      <c r="I393" s="84">
        <f t="shared" si="239"/>
        <v>0</v>
      </c>
      <c r="J393" s="84">
        <f t="shared" si="239"/>
        <v>0</v>
      </c>
      <c r="K393" s="84">
        <f t="shared" si="239"/>
        <v>0</v>
      </c>
      <c r="L393" s="84">
        <f t="shared" si="239"/>
        <v>0</v>
      </c>
      <c r="M393" s="84">
        <f t="shared" si="239"/>
        <v>0</v>
      </c>
      <c r="N393" s="84">
        <f t="shared" si="239"/>
        <v>773104.95</v>
      </c>
      <c r="O393" s="84">
        <f>O394</f>
        <v>773104.95</v>
      </c>
      <c r="P393" s="90">
        <f>P394</f>
        <v>835127.44</v>
      </c>
      <c r="Q393" s="90">
        <f t="shared" si="239"/>
        <v>0</v>
      </c>
      <c r="R393" s="90">
        <f>R394</f>
        <v>0</v>
      </c>
      <c r="S393" s="90">
        <f t="shared" si="239"/>
        <v>0</v>
      </c>
      <c r="T393" s="90">
        <f t="shared" si="239"/>
        <v>0</v>
      </c>
      <c r="U393" s="90">
        <f>U394</f>
        <v>0</v>
      </c>
      <c r="V393" s="90">
        <f t="shared" si="239"/>
        <v>0</v>
      </c>
      <c r="W393" s="90"/>
      <c r="X393" s="90">
        <f t="shared" si="239"/>
        <v>835127.44</v>
      </c>
      <c r="Y393" s="84"/>
      <c r="Z393" s="84">
        <f t="shared" si="197"/>
        <v>0</v>
      </c>
      <c r="AA393" s="90">
        <f>AA394</f>
        <v>835127.44</v>
      </c>
      <c r="AB393" s="90">
        <f t="shared" ref="AB393:AB397" si="240">AC393-AA393</f>
        <v>0</v>
      </c>
      <c r="AC393" s="90">
        <f>AC394</f>
        <v>835127.44</v>
      </c>
      <c r="AD393" s="81"/>
      <c r="AE393" s="81"/>
      <c r="AF393" s="81"/>
    </row>
    <row r="394" spans="1:32" s="82" customFormat="1" ht="63.75" x14ac:dyDescent="0.2">
      <c r="A394" s="158" t="s">
        <v>615</v>
      </c>
      <c r="B394" s="88">
        <v>804</v>
      </c>
      <c r="C394" s="89" t="s">
        <v>609</v>
      </c>
      <c r="D394" s="89" t="s">
        <v>610</v>
      </c>
      <c r="E394" s="89" t="s">
        <v>611</v>
      </c>
      <c r="F394" s="89" t="s">
        <v>614</v>
      </c>
      <c r="G394" s="89"/>
      <c r="H394" s="84">
        <f>SUM(H395:H397)</f>
        <v>773104.95</v>
      </c>
      <c r="I394" s="84">
        <f t="shared" ref="I394:N394" si="241">SUM(I395:I397)</f>
        <v>0</v>
      </c>
      <c r="J394" s="84">
        <f t="shared" si="241"/>
        <v>0</v>
      </c>
      <c r="K394" s="84">
        <f t="shared" si="241"/>
        <v>0</v>
      </c>
      <c r="L394" s="84">
        <f t="shared" si="241"/>
        <v>0</v>
      </c>
      <c r="M394" s="84">
        <f t="shared" si="241"/>
        <v>0</v>
      </c>
      <c r="N394" s="84">
        <f t="shared" si="241"/>
        <v>773104.95</v>
      </c>
      <c r="O394" s="84">
        <f>SUM(O395:O397)</f>
        <v>773104.95</v>
      </c>
      <c r="P394" s="90">
        <f>SUM(P395:P397)</f>
        <v>835127.44</v>
      </c>
      <c r="Q394" s="84">
        <f>R394+S394+T394+U394+V394</f>
        <v>0</v>
      </c>
      <c r="R394" s="84">
        <f>R395+R396+R397</f>
        <v>0</v>
      </c>
      <c r="S394" s="84">
        <f>S395+S396+S397</f>
        <v>0</v>
      </c>
      <c r="T394" s="84">
        <f>T395+T396+T397</f>
        <v>0</v>
      </c>
      <c r="U394" s="84">
        <f>U395+U396+U397</f>
        <v>0</v>
      </c>
      <c r="V394" s="84">
        <f>V395+V396+V397</f>
        <v>0</v>
      </c>
      <c r="W394" s="84"/>
      <c r="X394" s="84">
        <f>SUM(X395:X397)</f>
        <v>835127.44</v>
      </c>
      <c r="Y394" s="84"/>
      <c r="Z394" s="84">
        <f t="shared" si="197"/>
        <v>0</v>
      </c>
      <c r="AA394" s="90">
        <f>SUM(AA395:AA397)</f>
        <v>835127.44</v>
      </c>
      <c r="AB394" s="90">
        <f t="shared" si="240"/>
        <v>0</v>
      </c>
      <c r="AC394" s="90">
        <f>SUM(AC395:AC397)</f>
        <v>835127.44</v>
      </c>
      <c r="AD394" s="81"/>
      <c r="AE394" s="81"/>
      <c r="AF394" s="81"/>
    </row>
    <row r="395" spans="1:32" s="82" customFormat="1" x14ac:dyDescent="0.2">
      <c r="A395" s="158" t="s">
        <v>616</v>
      </c>
      <c r="B395" s="88"/>
      <c r="C395" s="89"/>
      <c r="D395" s="89"/>
      <c r="E395" s="89"/>
      <c r="F395" s="89"/>
      <c r="G395" s="89"/>
      <c r="H395" s="84">
        <v>157204.95000000001</v>
      </c>
      <c r="I395" s="84">
        <f>SUM(J395:M395)</f>
        <v>0</v>
      </c>
      <c r="J395" s="84"/>
      <c r="K395" s="84"/>
      <c r="L395" s="84"/>
      <c r="M395" s="84"/>
      <c r="N395" s="84">
        <f>H395+I395</f>
        <v>157204.95000000001</v>
      </c>
      <c r="O395" s="84">
        <v>157204.95000000001</v>
      </c>
      <c r="P395" s="90">
        <v>337360.07</v>
      </c>
      <c r="Q395" s="84">
        <f>R395+S395+T395+U395+V395</f>
        <v>0</v>
      </c>
      <c r="R395" s="84"/>
      <c r="S395" s="84"/>
      <c r="T395" s="84"/>
      <c r="U395" s="84">
        <v>0</v>
      </c>
      <c r="V395" s="84"/>
      <c r="W395" s="84"/>
      <c r="X395" s="84">
        <f>P395+Q395</f>
        <v>337360.07</v>
      </c>
      <c r="Y395" s="84"/>
      <c r="Z395" s="84">
        <f t="shared" si="197"/>
        <v>0</v>
      </c>
      <c r="AA395" s="90">
        <v>337360.07</v>
      </c>
      <c r="AB395" s="90">
        <f t="shared" si="240"/>
        <v>0</v>
      </c>
      <c r="AC395" s="90">
        <v>337360.07</v>
      </c>
      <c r="AD395" s="81"/>
      <c r="AE395" s="81"/>
      <c r="AF395" s="81"/>
    </row>
    <row r="396" spans="1:32" s="82" customFormat="1" x14ac:dyDescent="0.2">
      <c r="A396" s="158" t="s">
        <v>617</v>
      </c>
      <c r="B396" s="88"/>
      <c r="C396" s="89"/>
      <c r="D396" s="89"/>
      <c r="E396" s="89"/>
      <c r="F396" s="89"/>
      <c r="G396" s="89"/>
      <c r="H396" s="84">
        <v>499000</v>
      </c>
      <c r="I396" s="84">
        <f>SUM(J396:M396)</f>
        <v>0</v>
      </c>
      <c r="J396" s="84"/>
      <c r="K396" s="84"/>
      <c r="L396" s="84"/>
      <c r="M396" s="84"/>
      <c r="N396" s="84">
        <f>H396+I396</f>
        <v>499000</v>
      </c>
      <c r="O396" s="84">
        <v>499000</v>
      </c>
      <c r="P396" s="90">
        <v>421771.37</v>
      </c>
      <c r="Q396" s="84">
        <f>R396+S396+T396+U396+V396</f>
        <v>0</v>
      </c>
      <c r="R396" s="84"/>
      <c r="S396" s="84"/>
      <c r="T396" s="84"/>
      <c r="U396" s="84"/>
      <c r="V396" s="84"/>
      <c r="W396" s="84"/>
      <c r="X396" s="84">
        <f>P396+Q396</f>
        <v>421771.37</v>
      </c>
      <c r="Y396" s="84"/>
      <c r="Z396" s="84">
        <f t="shared" si="197"/>
        <v>0</v>
      </c>
      <c r="AA396" s="90">
        <v>421771.37</v>
      </c>
      <c r="AB396" s="90">
        <f t="shared" si="240"/>
        <v>0</v>
      </c>
      <c r="AC396" s="90">
        <v>421771.37</v>
      </c>
      <c r="AD396" s="81"/>
      <c r="AE396" s="81"/>
      <c r="AF396" s="81"/>
    </row>
    <row r="397" spans="1:32" s="82" customFormat="1" x14ac:dyDescent="0.2">
      <c r="A397" s="158" t="s">
        <v>618</v>
      </c>
      <c r="B397" s="88"/>
      <c r="C397" s="89"/>
      <c r="D397" s="89"/>
      <c r="E397" s="89"/>
      <c r="F397" s="89"/>
      <c r="G397" s="89"/>
      <c r="H397" s="84">
        <v>116900</v>
      </c>
      <c r="I397" s="84">
        <f>SUM(J397:M397)</f>
        <v>0</v>
      </c>
      <c r="J397" s="84"/>
      <c r="K397" s="84"/>
      <c r="L397" s="84"/>
      <c r="M397" s="84"/>
      <c r="N397" s="84">
        <f>H397+I397</f>
        <v>116900</v>
      </c>
      <c r="O397" s="84">
        <v>116900</v>
      </c>
      <c r="P397" s="90">
        <v>75996</v>
      </c>
      <c r="Q397" s="84">
        <f>R397+S397+T397+U397+V397</f>
        <v>0</v>
      </c>
      <c r="R397" s="84"/>
      <c r="S397" s="84"/>
      <c r="T397" s="84"/>
      <c r="U397" s="84">
        <v>0</v>
      </c>
      <c r="V397" s="84"/>
      <c r="W397" s="84"/>
      <c r="X397" s="84">
        <f>P397+Q397</f>
        <v>75996</v>
      </c>
      <c r="Y397" s="84"/>
      <c r="Z397" s="84">
        <f t="shared" si="197"/>
        <v>0</v>
      </c>
      <c r="AA397" s="90">
        <v>75996</v>
      </c>
      <c r="AB397" s="90">
        <f t="shared" si="240"/>
        <v>0</v>
      </c>
      <c r="AC397" s="90">
        <v>75996</v>
      </c>
      <c r="AD397" s="81"/>
      <c r="AE397" s="81"/>
      <c r="AF397" s="81"/>
    </row>
    <row r="398" spans="1:32" s="99" customFormat="1" x14ac:dyDescent="0.2">
      <c r="A398" s="140" t="s">
        <v>619</v>
      </c>
      <c r="B398" s="149"/>
      <c r="C398" s="149"/>
      <c r="D398" s="149"/>
      <c r="E398" s="149"/>
      <c r="F398" s="149"/>
      <c r="G398" s="149"/>
      <c r="H398" s="172" t="e">
        <f t="shared" ref="H398:O398" si="242">H9+H195+H210+H233+H266+H335+H347+H378+H357+H391</f>
        <v>#REF!</v>
      </c>
      <c r="I398" s="172" t="e">
        <f t="shared" si="242"/>
        <v>#REF!</v>
      </c>
      <c r="J398" s="172" t="e">
        <f t="shared" si="242"/>
        <v>#REF!</v>
      </c>
      <c r="K398" s="172" t="e">
        <f t="shared" si="242"/>
        <v>#REF!</v>
      </c>
      <c r="L398" s="172" t="e">
        <f t="shared" si="242"/>
        <v>#REF!</v>
      </c>
      <c r="M398" s="172" t="e">
        <f t="shared" si="242"/>
        <v>#REF!</v>
      </c>
      <c r="N398" s="172" t="e">
        <f t="shared" si="242"/>
        <v>#REF!</v>
      </c>
      <c r="O398" s="172" t="e">
        <f t="shared" si="242"/>
        <v>#REF!</v>
      </c>
      <c r="P398" s="173" t="e">
        <f t="shared" ref="P398:X398" si="243">P9+P195+P210+P233+P266+P335+P347+P378+P357+P391+P332+P342</f>
        <v>#REF!</v>
      </c>
      <c r="Q398" s="173" t="e">
        <f t="shared" si="243"/>
        <v>#REF!</v>
      </c>
      <c r="R398" s="173" t="e">
        <f t="shared" si="243"/>
        <v>#REF!</v>
      </c>
      <c r="S398" s="173" t="e">
        <f t="shared" si="243"/>
        <v>#REF!</v>
      </c>
      <c r="T398" s="173" t="e">
        <f t="shared" si="243"/>
        <v>#REF!</v>
      </c>
      <c r="U398" s="173" t="e">
        <f t="shared" si="243"/>
        <v>#REF!</v>
      </c>
      <c r="V398" s="173" t="e">
        <f t="shared" si="243"/>
        <v>#REF!</v>
      </c>
      <c r="W398" s="173" t="e">
        <f t="shared" si="243"/>
        <v>#REF!</v>
      </c>
      <c r="X398" s="173" t="e">
        <f t="shared" si="243"/>
        <v>#REF!</v>
      </c>
      <c r="Y398" s="79"/>
      <c r="Z398" s="79" t="e">
        <f t="shared" si="197"/>
        <v>#REF!</v>
      </c>
      <c r="AA398" s="173">
        <f>AA391+AA378+AA357+AA347+AA332+AA266+AA233+AA210+AA197+AA9+AA336</f>
        <v>231770098.52999997</v>
      </c>
      <c r="AB398" s="173">
        <f t="shared" ref="AB398:AC398" si="244">AB391+AB378+AB357+AB347+AB332+AB266+AB233+AB210+AB197+AB9+AB336</f>
        <v>10457651.000000004</v>
      </c>
      <c r="AC398" s="173">
        <f t="shared" si="244"/>
        <v>241888604.22999999</v>
      </c>
      <c r="AD398" s="98"/>
      <c r="AE398" s="98"/>
      <c r="AF398" s="98"/>
    </row>
    <row r="399" spans="1:32" x14ac:dyDescent="0.2">
      <c r="I399" s="175"/>
      <c r="J399" s="175"/>
      <c r="K399" s="175"/>
      <c r="L399" s="175"/>
      <c r="M399" s="175"/>
      <c r="N399" s="175"/>
      <c r="O399" s="175"/>
      <c r="Q399" s="175"/>
      <c r="R399" s="175"/>
      <c r="S399" s="175"/>
      <c r="T399" s="175"/>
      <c r="U399" s="175"/>
      <c r="V399" s="175"/>
      <c r="W399" s="175"/>
      <c r="X399" s="176">
        <v>117048593.47</v>
      </c>
    </row>
    <row r="400" spans="1:32" x14ac:dyDescent="0.2">
      <c r="B400" s="579"/>
      <c r="C400" s="579"/>
      <c r="I400" s="175"/>
      <c r="J400" s="175"/>
      <c r="K400" s="175"/>
      <c r="L400" s="175"/>
      <c r="M400" s="175"/>
      <c r="N400" s="175"/>
      <c r="O400" s="175"/>
      <c r="P400" s="177">
        <v>160259825.61000001</v>
      </c>
      <c r="Q400" s="175"/>
      <c r="R400" s="175"/>
      <c r="S400" s="175"/>
      <c r="T400" s="175"/>
      <c r="U400" s="175"/>
      <c r="V400" s="175"/>
      <c r="W400" s="175"/>
      <c r="X400" s="176">
        <v>108703304.09</v>
      </c>
      <c r="AA400" s="177">
        <v>231770098.53</v>
      </c>
      <c r="AB400" s="177"/>
      <c r="AC400" s="177">
        <v>231770098.53</v>
      </c>
    </row>
    <row r="401" spans="2:30" x14ac:dyDescent="0.2">
      <c r="B401" s="580"/>
      <c r="C401" s="580"/>
      <c r="D401" s="178"/>
      <c r="E401" s="179"/>
      <c r="P401" s="177"/>
      <c r="Q401" s="175"/>
      <c r="R401" s="175"/>
      <c r="S401" s="175"/>
      <c r="T401" s="175"/>
      <c r="U401" s="175"/>
      <c r="V401" s="175"/>
      <c r="W401" s="175"/>
      <c r="X401" s="176" t="e">
        <f>X398-X399</f>
        <v>#REF!</v>
      </c>
      <c r="AA401" s="177"/>
      <c r="AB401" s="177"/>
      <c r="AC401" s="177"/>
    </row>
    <row r="402" spans="2:30" x14ac:dyDescent="0.2">
      <c r="B402" s="180"/>
      <c r="C402" s="180"/>
      <c r="D402" s="178"/>
      <c r="E402" s="179"/>
      <c r="P402" s="177" t="e">
        <f>P398-P400</f>
        <v>#REF!</v>
      </c>
      <c r="Q402" s="175"/>
      <c r="R402" s="175"/>
      <c r="S402" s="175"/>
      <c r="T402" s="175"/>
      <c r="U402" s="175"/>
      <c r="V402" s="175"/>
      <c r="W402" s="175"/>
      <c r="X402" s="176"/>
      <c r="AA402" s="177">
        <f>AA398-AA400</f>
        <v>0</v>
      </c>
      <c r="AB402" s="177"/>
      <c r="AC402" s="177">
        <f>AC398-AC400</f>
        <v>10118505.699999988</v>
      </c>
    </row>
    <row r="403" spans="2:30" x14ac:dyDescent="0.2">
      <c r="B403" s="180"/>
      <c r="C403" s="180"/>
      <c r="D403" s="178"/>
      <c r="E403" s="179"/>
      <c r="P403" s="177"/>
      <c r="Q403" s="175"/>
      <c r="R403" s="175"/>
      <c r="S403" s="175"/>
      <c r="T403" s="175"/>
      <c r="U403" s="175"/>
      <c r="V403" s="175"/>
      <c r="W403" s="175"/>
      <c r="X403" s="176"/>
      <c r="AA403" s="177"/>
      <c r="AB403" s="177"/>
      <c r="AC403" s="177"/>
    </row>
    <row r="404" spans="2:30" x14ac:dyDescent="0.2">
      <c r="B404" s="180"/>
      <c r="C404" s="180"/>
      <c r="D404" s="178"/>
      <c r="E404" s="179"/>
      <c r="P404" s="177"/>
      <c r="Q404" s="175"/>
      <c r="R404" s="175"/>
      <c r="S404" s="175"/>
      <c r="T404" s="175"/>
      <c r="U404" s="175"/>
      <c r="V404" s="175"/>
      <c r="W404" s="175"/>
      <c r="X404" s="176"/>
      <c r="AA404" s="177"/>
      <c r="AB404" s="177"/>
      <c r="AC404" s="177"/>
    </row>
    <row r="405" spans="2:30" x14ac:dyDescent="0.2">
      <c r="B405" s="180"/>
      <c r="C405" s="180"/>
      <c r="D405" s="178"/>
      <c r="E405" s="179"/>
      <c r="P405" s="177"/>
      <c r="Q405" s="175"/>
      <c r="R405" s="175"/>
      <c r="S405" s="175"/>
      <c r="T405" s="175"/>
      <c r="U405" s="175"/>
      <c r="V405" s="175"/>
      <c r="W405" s="175"/>
      <c r="X405" s="176"/>
      <c r="AA405" s="177" t="s">
        <v>1091</v>
      </c>
      <c r="AB405" s="177">
        <f>AB176+AB177+AB221+AB222+AB225+AB226+AB243+AB250+AB265+AB272+AB276+AB277+AB278+AB293+AB333+AB334+AB338+AB355+AB365+AB371+AB372+AB389+AB390+AB252+AB175+AB270++AB275+AB46+AB39+AB17</f>
        <v>4863262.2299999986</v>
      </c>
      <c r="AC405" s="177"/>
    </row>
    <row r="406" spans="2:30" hidden="1" x14ac:dyDescent="0.2">
      <c r="B406" s="180"/>
      <c r="C406" s="180"/>
      <c r="D406" s="178"/>
      <c r="E406" s="179"/>
      <c r="G406" s="49">
        <v>9000</v>
      </c>
      <c r="P406" s="177"/>
      <c r="Q406" s="175"/>
      <c r="R406" s="175"/>
      <c r="S406" s="175"/>
      <c r="T406" s="175"/>
      <c r="U406" s="175"/>
      <c r="V406" s="175"/>
      <c r="W406" s="175"/>
      <c r="X406" s="176"/>
      <c r="AA406" s="177"/>
      <c r="AB406" s="177"/>
      <c r="AC406" s="177"/>
      <c r="AD406" s="70" t="e">
        <f>AA406-#REF!</f>
        <v>#REF!</v>
      </c>
    </row>
    <row r="407" spans="2:30" x14ac:dyDescent="0.2">
      <c r="B407" s="180"/>
      <c r="C407" s="180"/>
      <c r="D407" s="178"/>
      <c r="E407" s="179"/>
      <c r="G407" s="49" t="s">
        <v>691</v>
      </c>
      <c r="P407" s="177"/>
      <c r="Q407" s="175"/>
      <c r="R407" s="175"/>
      <c r="S407" s="175"/>
      <c r="T407" s="175"/>
      <c r="U407" s="175"/>
      <c r="V407" s="175"/>
      <c r="W407" s="175"/>
      <c r="X407" s="176"/>
      <c r="AA407" s="177"/>
      <c r="AB407" s="177">
        <f>AB398-AB405</f>
        <v>5594388.7700000051</v>
      </c>
      <c r="AC407" s="177"/>
      <c r="AD407" s="70"/>
    </row>
    <row r="408" spans="2:30" x14ac:dyDescent="0.2">
      <c r="B408" s="180"/>
      <c r="C408" s="180"/>
      <c r="D408" s="178"/>
      <c r="E408" s="179"/>
      <c r="G408" s="181"/>
      <c r="P408" s="177"/>
      <c r="Q408" s="175"/>
      <c r="R408" s="175"/>
      <c r="S408" s="175"/>
      <c r="T408" s="175"/>
      <c r="U408" s="175"/>
      <c r="V408" s="175"/>
      <c r="W408" s="175"/>
      <c r="X408" s="176"/>
      <c r="AA408" s="177"/>
      <c r="AB408" s="177"/>
      <c r="AC408" s="177"/>
      <c r="AD408" s="70"/>
    </row>
    <row r="409" spans="2:30" x14ac:dyDescent="0.2">
      <c r="B409" s="180"/>
      <c r="C409" s="180"/>
      <c r="D409" s="178"/>
      <c r="E409" s="179"/>
      <c r="G409" s="181"/>
      <c r="P409" s="177"/>
      <c r="Q409" s="175"/>
      <c r="R409" s="175"/>
      <c r="S409" s="175"/>
      <c r="T409" s="175"/>
      <c r="U409" s="175"/>
      <c r="V409" s="175"/>
      <c r="W409" s="175"/>
      <c r="X409" s="176"/>
      <c r="AA409" s="177"/>
      <c r="AB409" s="177"/>
      <c r="AC409" s="177"/>
    </row>
    <row r="410" spans="2:30" x14ac:dyDescent="0.2">
      <c r="B410" s="180"/>
      <c r="C410" s="180"/>
      <c r="D410" s="178"/>
      <c r="E410" s="179"/>
      <c r="P410" s="177"/>
      <c r="Q410" s="175"/>
      <c r="R410" s="175"/>
      <c r="S410" s="175"/>
      <c r="T410" s="175"/>
      <c r="U410" s="175"/>
      <c r="V410" s="175"/>
      <c r="W410" s="175"/>
      <c r="X410" s="176"/>
      <c r="AA410" s="177"/>
      <c r="AB410" s="177"/>
      <c r="AC410" s="177"/>
    </row>
    <row r="411" spans="2:30" x14ac:dyDescent="0.2">
      <c r="B411" s="180"/>
      <c r="C411" s="180"/>
      <c r="D411" s="178"/>
      <c r="E411" s="179"/>
      <c r="P411" s="177"/>
      <c r="Q411" s="175"/>
      <c r="R411" s="175"/>
      <c r="S411" s="175"/>
      <c r="T411" s="175"/>
      <c r="U411" s="175"/>
      <c r="V411" s="175"/>
      <c r="W411" s="175"/>
      <c r="X411" s="176"/>
      <c r="AA411" s="177"/>
      <c r="AB411" s="177"/>
      <c r="AC411" s="177"/>
    </row>
    <row r="412" spans="2:30" x14ac:dyDescent="0.2">
      <c r="B412" s="180"/>
      <c r="C412" s="180"/>
      <c r="D412" s="178"/>
      <c r="E412" s="179"/>
      <c r="P412" s="177"/>
      <c r="Q412" s="175"/>
      <c r="R412" s="175"/>
      <c r="S412" s="175"/>
      <c r="T412" s="175"/>
      <c r="U412" s="175"/>
      <c r="V412" s="175"/>
      <c r="W412" s="175"/>
      <c r="X412" s="176"/>
      <c r="AA412" s="177"/>
      <c r="AB412" s="177"/>
      <c r="AC412" s="177"/>
    </row>
    <row r="413" spans="2:30" x14ac:dyDescent="0.2">
      <c r="B413" s="180"/>
      <c r="C413" s="180"/>
      <c r="D413" s="178"/>
      <c r="E413" s="179"/>
      <c r="P413" s="177"/>
      <c r="Q413" s="175"/>
      <c r="R413" s="175"/>
      <c r="S413" s="175"/>
      <c r="T413" s="175"/>
      <c r="U413" s="175"/>
      <c r="V413" s="175"/>
      <c r="W413" s="175"/>
      <c r="X413" s="176"/>
      <c r="AA413" s="177"/>
      <c r="AB413" s="177"/>
      <c r="AC413" s="177"/>
    </row>
    <row r="414" spans="2:30" x14ac:dyDescent="0.2">
      <c r="B414" s="180"/>
      <c r="C414" s="180"/>
      <c r="D414" s="178"/>
      <c r="E414" s="179"/>
      <c r="P414" s="177"/>
      <c r="Q414" s="175"/>
      <c r="R414" s="175"/>
      <c r="S414" s="175"/>
      <c r="T414" s="175"/>
      <c r="U414" s="175"/>
      <c r="V414" s="175"/>
      <c r="W414" s="175"/>
      <c r="X414" s="176"/>
      <c r="AA414" s="177"/>
      <c r="AB414" s="177"/>
      <c r="AC414" s="177"/>
    </row>
    <row r="415" spans="2:30" x14ac:dyDescent="0.2">
      <c r="B415" s="180"/>
      <c r="C415" s="180"/>
      <c r="D415" s="178"/>
      <c r="E415" s="179"/>
      <c r="P415" s="177"/>
      <c r="Q415" s="175"/>
      <c r="R415" s="175"/>
      <c r="S415" s="175"/>
      <c r="T415" s="175"/>
      <c r="U415" s="175"/>
      <c r="V415" s="175"/>
      <c r="W415" s="175"/>
      <c r="X415" s="176"/>
      <c r="AA415" s="177"/>
      <c r="AB415" s="177"/>
      <c r="AC415" s="177"/>
    </row>
    <row r="416" spans="2:30" x14ac:dyDescent="0.2">
      <c r="B416" s="180"/>
      <c r="C416" s="180"/>
      <c r="D416" s="178"/>
      <c r="E416" s="179"/>
      <c r="P416" s="177"/>
      <c r="Q416" s="175"/>
      <c r="R416" s="175"/>
      <c r="S416" s="175"/>
      <c r="T416" s="175"/>
      <c r="U416" s="175"/>
      <c r="V416" s="175"/>
      <c r="W416" s="175"/>
      <c r="X416" s="176"/>
      <c r="AA416" s="177"/>
      <c r="AB416" s="177"/>
      <c r="AC416" s="177"/>
    </row>
    <row r="417" spans="1:32" x14ac:dyDescent="0.2">
      <c r="B417" s="180"/>
      <c r="C417" s="180"/>
      <c r="D417" s="178"/>
      <c r="E417" s="179"/>
      <c r="P417" s="177"/>
      <c r="Q417" s="175"/>
      <c r="R417" s="175"/>
      <c r="S417" s="175"/>
      <c r="T417" s="175"/>
      <c r="U417" s="175"/>
      <c r="V417" s="175"/>
      <c r="W417" s="175"/>
      <c r="X417" s="176"/>
      <c r="AA417" s="177"/>
      <c r="AB417" s="177"/>
      <c r="AC417" s="177"/>
    </row>
    <row r="418" spans="1:32" x14ac:dyDescent="0.2">
      <c r="B418" s="180"/>
      <c r="C418" s="180"/>
      <c r="D418" s="178"/>
      <c r="E418" s="179"/>
      <c r="P418" s="177"/>
      <c r="Q418" s="175"/>
      <c r="R418" s="175"/>
      <c r="S418" s="175"/>
      <c r="T418" s="175"/>
      <c r="U418" s="175"/>
      <c r="V418" s="175"/>
      <c r="W418" s="175"/>
      <c r="X418" s="176"/>
      <c r="AA418" s="177"/>
      <c r="AB418" s="177"/>
      <c r="AC418" s="177"/>
    </row>
    <row r="419" spans="1:32" x14ac:dyDescent="0.2">
      <c r="B419" s="178"/>
      <c r="C419" s="178"/>
      <c r="D419" s="178"/>
      <c r="E419" s="179"/>
      <c r="P419" s="182"/>
      <c r="R419" s="175"/>
      <c r="S419" s="175"/>
      <c r="T419" s="175"/>
      <c r="X419" s="176"/>
      <c r="AA419" s="182"/>
      <c r="AB419" s="182"/>
      <c r="AC419" s="182"/>
    </row>
    <row r="420" spans="1:32" x14ac:dyDescent="0.2">
      <c r="B420" s="581"/>
      <c r="C420" s="581"/>
      <c r="D420" s="183"/>
      <c r="E420" s="183"/>
      <c r="F420" s="183"/>
      <c r="G420" s="581"/>
      <c r="H420" s="581"/>
      <c r="P420" s="177"/>
      <c r="Q420" s="175"/>
      <c r="R420" s="175"/>
      <c r="T420" s="175"/>
      <c r="V420" s="175"/>
      <c r="X420" s="176"/>
      <c r="AA420" s="177"/>
      <c r="AB420" s="177"/>
      <c r="AC420" s="177"/>
    </row>
    <row r="421" spans="1:32" ht="18.75" x14ac:dyDescent="0.3">
      <c r="A421" s="184"/>
      <c r="B421" s="582"/>
      <c r="C421" s="582"/>
      <c r="D421" s="583"/>
      <c r="E421" s="583"/>
      <c r="F421" s="185"/>
      <c r="G421" s="185"/>
      <c r="H421" s="185"/>
      <c r="I421" s="186"/>
      <c r="J421" s="186"/>
      <c r="K421" s="186"/>
      <c r="L421" s="186"/>
      <c r="M421" s="186"/>
      <c r="N421" s="186"/>
      <c r="O421" s="186"/>
      <c r="P421" s="187"/>
      <c r="Q421" s="188"/>
      <c r="R421" s="188"/>
      <c r="T421" s="175"/>
      <c r="X421" s="176"/>
      <c r="AA421" s="187"/>
      <c r="AB421" s="187"/>
      <c r="AC421" s="187"/>
    </row>
    <row r="422" spans="1:32" x14ac:dyDescent="0.2">
      <c r="A422" s="99"/>
      <c r="B422" s="584"/>
      <c r="C422" s="584"/>
      <c r="D422" s="583"/>
      <c r="E422" s="583"/>
      <c r="F422" s="189"/>
      <c r="G422" s="189"/>
      <c r="H422" s="189"/>
      <c r="I422" s="190"/>
      <c r="J422" s="190"/>
      <c r="K422" s="190"/>
      <c r="L422" s="190"/>
      <c r="M422" s="190"/>
      <c r="N422" s="190"/>
      <c r="O422" s="190"/>
      <c r="P422" s="191"/>
      <c r="Q422" s="190"/>
      <c r="R422" s="190"/>
      <c r="T422" s="175"/>
      <c r="X422" s="176"/>
      <c r="AA422" s="191"/>
      <c r="AB422" s="191"/>
      <c r="AC422" s="191"/>
    </row>
    <row r="423" spans="1:32" x14ac:dyDescent="0.2">
      <c r="A423" s="99"/>
      <c r="B423" s="585"/>
      <c r="C423" s="585"/>
      <c r="D423" s="178"/>
      <c r="E423" s="179"/>
      <c r="F423" s="178"/>
      <c r="G423" s="178"/>
      <c r="T423" s="175"/>
      <c r="X423" s="176"/>
    </row>
    <row r="424" spans="1:32" s="99" customFormat="1" x14ac:dyDescent="0.2">
      <c r="B424" s="576"/>
      <c r="C424" s="576"/>
      <c r="D424" s="192"/>
      <c r="E424" s="162"/>
      <c r="F424" s="193"/>
      <c r="G424" s="193"/>
      <c r="H424" s="194"/>
      <c r="P424" s="195"/>
      <c r="S424" s="194"/>
      <c r="X424" s="196"/>
      <c r="Y424" s="194"/>
      <c r="Z424" s="194"/>
      <c r="AA424" s="195"/>
      <c r="AB424" s="195"/>
      <c r="AC424" s="195"/>
      <c r="AD424" s="98"/>
      <c r="AE424" s="98"/>
      <c r="AF424" s="98"/>
    </row>
    <row r="425" spans="1:32" x14ac:dyDescent="0.2">
      <c r="B425" s="585"/>
      <c r="C425" s="585"/>
      <c r="D425" s="178"/>
      <c r="S425" s="175"/>
      <c r="X425" s="176"/>
    </row>
    <row r="426" spans="1:32" x14ac:dyDescent="0.2">
      <c r="B426" s="585"/>
      <c r="C426" s="585"/>
      <c r="D426" s="178"/>
      <c r="S426" s="175"/>
      <c r="U426" s="175"/>
      <c r="V426" s="175"/>
      <c r="W426" s="175"/>
      <c r="X426" s="176"/>
    </row>
    <row r="427" spans="1:32" s="99" customFormat="1" x14ac:dyDescent="0.2">
      <c r="B427" s="576"/>
      <c r="C427" s="576"/>
      <c r="D427" s="193"/>
      <c r="E427" s="162"/>
      <c r="F427" s="193"/>
      <c r="G427" s="193"/>
      <c r="H427" s="194"/>
      <c r="P427" s="182"/>
      <c r="Q427" s="194"/>
      <c r="R427" s="194"/>
      <c r="S427" s="194"/>
      <c r="T427" s="194"/>
      <c r="U427" s="194"/>
      <c r="V427" s="194"/>
      <c r="W427" s="194"/>
      <c r="X427" s="196"/>
      <c r="Y427" s="194"/>
      <c r="Z427" s="194"/>
      <c r="AA427" s="182"/>
      <c r="AB427" s="182"/>
      <c r="AC427" s="182"/>
      <c r="AD427" s="98"/>
      <c r="AE427" s="98"/>
      <c r="AF427" s="98"/>
    </row>
    <row r="428" spans="1:32" x14ac:dyDescent="0.2">
      <c r="B428" s="585"/>
      <c r="C428" s="579"/>
      <c r="P428" s="197"/>
      <c r="Q428" s="82"/>
      <c r="R428" s="82"/>
      <c r="S428" s="198"/>
      <c r="T428" s="82"/>
      <c r="U428" s="82"/>
      <c r="V428" s="82"/>
      <c r="W428" s="82"/>
      <c r="X428" s="176"/>
      <c r="AA428" s="197"/>
      <c r="AB428" s="197"/>
      <c r="AC428" s="197"/>
    </row>
    <row r="429" spans="1:32" x14ac:dyDescent="0.2">
      <c r="S429" s="175"/>
      <c r="X429" s="196"/>
    </row>
    <row r="430" spans="1:32" x14ac:dyDescent="0.2">
      <c r="B430" s="576"/>
      <c r="C430" s="576"/>
      <c r="P430" s="177"/>
      <c r="Q430" s="175"/>
      <c r="U430" s="175"/>
      <c r="X430" s="198"/>
      <c r="AA430" s="177"/>
      <c r="AB430" s="177"/>
      <c r="AC430" s="177"/>
    </row>
    <row r="431" spans="1:32" x14ac:dyDescent="0.2">
      <c r="A431" s="53"/>
      <c r="B431" s="579"/>
      <c r="C431" s="579"/>
      <c r="D431" s="199"/>
      <c r="P431" s="182"/>
      <c r="Q431" s="175"/>
      <c r="R431" s="175"/>
      <c r="S431" s="175"/>
      <c r="T431" s="175"/>
      <c r="U431" s="175"/>
      <c r="V431" s="175"/>
      <c r="W431" s="175"/>
      <c r="X431" s="175"/>
      <c r="AA431" s="182"/>
      <c r="AB431" s="182"/>
      <c r="AC431" s="182"/>
    </row>
    <row r="432" spans="1:32" x14ac:dyDescent="0.2">
      <c r="A432" s="69"/>
      <c r="B432" s="588"/>
      <c r="C432" s="588"/>
      <c r="D432" s="200"/>
      <c r="E432" s="201"/>
      <c r="F432" s="202"/>
      <c r="G432" s="202"/>
      <c r="H432" s="70"/>
      <c r="I432" s="57"/>
      <c r="J432" s="57"/>
      <c r="K432" s="57"/>
      <c r="L432" s="57"/>
      <c r="M432" s="57"/>
      <c r="N432" s="57"/>
      <c r="O432" s="57"/>
      <c r="P432" s="203"/>
      <c r="Q432" s="175"/>
      <c r="R432" s="175"/>
      <c r="S432" s="175"/>
      <c r="T432" s="175"/>
      <c r="U432" s="175"/>
      <c r="V432" s="175"/>
      <c r="W432" s="175"/>
      <c r="X432" s="175"/>
      <c r="AA432" s="203"/>
      <c r="AB432" s="203"/>
      <c r="AC432" s="203"/>
    </row>
    <row r="433" spans="1:29" x14ac:dyDescent="0.2">
      <c r="A433" s="204"/>
      <c r="B433" s="585"/>
      <c r="C433" s="585"/>
      <c r="D433" s="200"/>
      <c r="E433" s="201"/>
      <c r="F433" s="202"/>
      <c r="G433" s="202"/>
      <c r="H433" s="70"/>
      <c r="I433" s="57"/>
      <c r="J433" s="57"/>
      <c r="K433" s="57"/>
      <c r="L433" s="57"/>
      <c r="M433" s="57"/>
      <c r="N433" s="57"/>
      <c r="O433" s="57"/>
      <c r="P433" s="203"/>
      <c r="T433" s="175"/>
      <c r="U433" s="175"/>
      <c r="V433" s="175"/>
      <c r="X433" s="175"/>
      <c r="AA433" s="203"/>
      <c r="AB433" s="203"/>
      <c r="AC433" s="203"/>
    </row>
    <row r="434" spans="1:29" x14ac:dyDescent="0.2">
      <c r="A434" s="69"/>
      <c r="B434" s="588"/>
      <c r="C434" s="588"/>
      <c r="D434" s="200"/>
      <c r="E434" s="201"/>
      <c r="F434" s="202"/>
      <c r="G434" s="202"/>
      <c r="H434" s="70"/>
      <c r="I434" s="57"/>
      <c r="J434" s="57"/>
      <c r="K434" s="57"/>
      <c r="L434" s="57"/>
      <c r="M434" s="57"/>
      <c r="N434" s="57"/>
      <c r="O434" s="57"/>
      <c r="P434" s="203"/>
      <c r="Q434" s="175"/>
      <c r="R434" s="175"/>
      <c r="T434" s="175"/>
      <c r="U434" s="175"/>
      <c r="X434" s="175"/>
      <c r="AA434" s="203"/>
      <c r="AB434" s="203"/>
      <c r="AC434" s="203"/>
    </row>
    <row r="435" spans="1:29" x14ac:dyDescent="0.2">
      <c r="A435" s="204"/>
      <c r="B435" s="589"/>
      <c r="C435" s="589"/>
      <c r="D435" s="202"/>
      <c r="E435" s="201"/>
      <c r="F435" s="202"/>
      <c r="G435" s="202"/>
      <c r="H435" s="70"/>
      <c r="I435" s="57"/>
      <c r="J435" s="57"/>
      <c r="K435" s="57"/>
      <c r="L435" s="57"/>
      <c r="M435" s="57"/>
      <c r="N435" s="57"/>
      <c r="O435" s="57"/>
      <c r="P435" s="203"/>
      <c r="U435" s="175"/>
      <c r="V435" s="175"/>
      <c r="X435" s="175"/>
      <c r="AA435" s="203"/>
      <c r="AB435" s="203"/>
      <c r="AC435" s="203"/>
    </row>
    <row r="436" spans="1:29" x14ac:dyDescent="0.2">
      <c r="A436" s="57"/>
      <c r="B436" s="588"/>
      <c r="C436" s="588"/>
      <c r="P436" s="177"/>
      <c r="U436" s="175"/>
      <c r="X436" s="205"/>
      <c r="AA436" s="177"/>
      <c r="AB436" s="177"/>
      <c r="AC436" s="177"/>
    </row>
    <row r="437" spans="1:29" x14ac:dyDescent="0.2">
      <c r="A437" s="57"/>
      <c r="B437" s="586"/>
      <c r="C437" s="587"/>
      <c r="P437" s="177"/>
      <c r="R437" s="175"/>
      <c r="T437" s="175"/>
      <c r="X437" s="205"/>
      <c r="AA437" s="177"/>
      <c r="AB437" s="177"/>
      <c r="AC437" s="177"/>
    </row>
    <row r="438" spans="1:29" x14ac:dyDescent="0.2">
      <c r="U438" s="175"/>
      <c r="X438" s="175"/>
      <c r="Y438" s="48"/>
      <c r="Z438" s="48"/>
    </row>
    <row r="439" spans="1:29" x14ac:dyDescent="0.2">
      <c r="Y439" s="48"/>
      <c r="Z439" s="48"/>
    </row>
    <row r="440" spans="1:29" x14ac:dyDescent="0.2">
      <c r="Y440" s="48"/>
      <c r="Z440" s="48"/>
    </row>
    <row r="441" spans="1:29" x14ac:dyDescent="0.2">
      <c r="P441" s="177"/>
      <c r="Q441" s="175"/>
      <c r="R441" s="175"/>
      <c r="S441" s="175"/>
      <c r="T441" s="175"/>
      <c r="U441" s="175"/>
      <c r="V441" s="175"/>
      <c r="W441" s="175"/>
      <c r="X441" s="175"/>
      <c r="Y441" s="48"/>
      <c r="Z441" s="48"/>
      <c r="AA441" s="177"/>
      <c r="AB441" s="177"/>
      <c r="AC441" s="177"/>
    </row>
    <row r="442" spans="1:29" x14ac:dyDescent="0.2">
      <c r="P442" s="177"/>
      <c r="Q442" s="177"/>
      <c r="R442" s="177"/>
      <c r="S442" s="177"/>
      <c r="T442" s="177"/>
      <c r="U442" s="177"/>
      <c r="V442" s="177"/>
      <c r="W442" s="177"/>
      <c r="X442" s="177"/>
      <c r="Y442" s="48"/>
      <c r="Z442" s="48"/>
      <c r="AA442" s="177"/>
      <c r="AB442" s="177"/>
      <c r="AC442" s="177"/>
    </row>
    <row r="443" spans="1:29" x14ac:dyDescent="0.2">
      <c r="T443" s="175"/>
      <c r="Y443" s="48"/>
      <c r="Z443" s="48"/>
    </row>
  </sheetData>
  <mergeCells count="24">
    <mergeCell ref="B437:C437"/>
    <mergeCell ref="B425:C425"/>
    <mergeCell ref="B426:C426"/>
    <mergeCell ref="B427:C427"/>
    <mergeCell ref="B428:C428"/>
    <mergeCell ref="B430:C430"/>
    <mergeCell ref="B431:C431"/>
    <mergeCell ref="B432:C432"/>
    <mergeCell ref="B433:C433"/>
    <mergeCell ref="B434:C434"/>
    <mergeCell ref="B435:C435"/>
    <mergeCell ref="B436:C436"/>
    <mergeCell ref="B424:C424"/>
    <mergeCell ref="G4:Q4"/>
    <mergeCell ref="A6:AA6"/>
    <mergeCell ref="B400:C400"/>
    <mergeCell ref="B401:C401"/>
    <mergeCell ref="B420:C420"/>
    <mergeCell ref="G420:H420"/>
    <mergeCell ref="B421:C421"/>
    <mergeCell ref="D421:E421"/>
    <mergeCell ref="B422:C422"/>
    <mergeCell ref="D422:E422"/>
    <mergeCell ref="B423:C423"/>
  </mergeCells>
  <pageMargins left="0.7" right="0.7" top="0.75" bottom="0.75" header="0.3" footer="0.3"/>
  <pageSetup paperSize="9" scale="52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324"/>
  <sheetViews>
    <sheetView topLeftCell="A237" workbookViewId="0">
      <selection sqref="A1:I301"/>
    </sheetView>
  </sheetViews>
  <sheetFormatPr defaultRowHeight="15" x14ac:dyDescent="0.2"/>
  <cols>
    <col min="1" max="1" width="97" style="386" customWidth="1"/>
    <col min="2" max="2" width="9.33203125" style="387"/>
    <col min="3" max="3" width="9.33203125" style="388"/>
    <col min="4" max="4" width="13.83203125" style="388" customWidth="1"/>
    <col min="5" max="5" width="21.6640625" style="388" customWidth="1"/>
    <col min="6" max="7" width="24.83203125" style="389" hidden="1" customWidth="1"/>
    <col min="8" max="8" width="28.5" style="389" customWidth="1"/>
    <col min="9" max="9" width="29.6640625" style="390" customWidth="1"/>
    <col min="10" max="10" width="25.83203125" style="391" customWidth="1"/>
    <col min="11" max="11" width="16.1640625" style="391" customWidth="1"/>
    <col min="12" max="256" width="9.33203125" style="388"/>
    <col min="257" max="257" width="105.6640625" style="388" customWidth="1"/>
    <col min="258" max="259" width="9.33203125" style="388"/>
    <col min="260" max="260" width="13.83203125" style="388" customWidth="1"/>
    <col min="261" max="261" width="21.6640625" style="388" customWidth="1"/>
    <col min="262" max="263" width="0" style="388" hidden="1" customWidth="1"/>
    <col min="264" max="264" width="28.5" style="388" customWidth="1"/>
    <col min="265" max="265" width="29.6640625" style="388" customWidth="1"/>
    <col min="266" max="266" width="25.83203125" style="388" customWidth="1"/>
    <col min="267" max="267" width="16.1640625" style="388" customWidth="1"/>
    <col min="268" max="512" width="9.33203125" style="388"/>
    <col min="513" max="513" width="105.6640625" style="388" customWidth="1"/>
    <col min="514" max="515" width="9.33203125" style="388"/>
    <col min="516" max="516" width="13.83203125" style="388" customWidth="1"/>
    <col min="517" max="517" width="21.6640625" style="388" customWidth="1"/>
    <col min="518" max="519" width="0" style="388" hidden="1" customWidth="1"/>
    <col min="520" max="520" width="28.5" style="388" customWidth="1"/>
    <col min="521" max="521" width="29.6640625" style="388" customWidth="1"/>
    <col min="522" max="522" width="25.83203125" style="388" customWidth="1"/>
    <col min="523" max="523" width="16.1640625" style="388" customWidth="1"/>
    <col min="524" max="768" width="9.33203125" style="388"/>
    <col min="769" max="769" width="105.6640625" style="388" customWidth="1"/>
    <col min="770" max="771" width="9.33203125" style="388"/>
    <col min="772" max="772" width="13.83203125" style="388" customWidth="1"/>
    <col min="773" max="773" width="21.6640625" style="388" customWidth="1"/>
    <col min="774" max="775" width="0" style="388" hidden="1" customWidth="1"/>
    <col min="776" max="776" width="28.5" style="388" customWidth="1"/>
    <col min="777" max="777" width="29.6640625" style="388" customWidth="1"/>
    <col min="778" max="778" width="25.83203125" style="388" customWidth="1"/>
    <col min="779" max="779" width="16.1640625" style="388" customWidth="1"/>
    <col min="780" max="1024" width="9.33203125" style="388"/>
    <col min="1025" max="1025" width="105.6640625" style="388" customWidth="1"/>
    <col min="1026" max="1027" width="9.33203125" style="388"/>
    <col min="1028" max="1028" width="13.83203125" style="388" customWidth="1"/>
    <col min="1029" max="1029" width="21.6640625" style="388" customWidth="1"/>
    <col min="1030" max="1031" width="0" style="388" hidden="1" customWidth="1"/>
    <col min="1032" max="1032" width="28.5" style="388" customWidth="1"/>
    <col min="1033" max="1033" width="29.6640625" style="388" customWidth="1"/>
    <col min="1034" max="1034" width="25.83203125" style="388" customWidth="1"/>
    <col min="1035" max="1035" width="16.1640625" style="388" customWidth="1"/>
    <col min="1036" max="1280" width="9.33203125" style="388"/>
    <col min="1281" max="1281" width="105.6640625" style="388" customWidth="1"/>
    <col min="1282" max="1283" width="9.33203125" style="388"/>
    <col min="1284" max="1284" width="13.83203125" style="388" customWidth="1"/>
    <col min="1285" max="1285" width="21.6640625" style="388" customWidth="1"/>
    <col min="1286" max="1287" width="0" style="388" hidden="1" customWidth="1"/>
    <col min="1288" max="1288" width="28.5" style="388" customWidth="1"/>
    <col min="1289" max="1289" width="29.6640625" style="388" customWidth="1"/>
    <col min="1290" max="1290" width="25.83203125" style="388" customWidth="1"/>
    <col min="1291" max="1291" width="16.1640625" style="388" customWidth="1"/>
    <col min="1292" max="1536" width="9.33203125" style="388"/>
    <col min="1537" max="1537" width="105.6640625" style="388" customWidth="1"/>
    <col min="1538" max="1539" width="9.33203125" style="388"/>
    <col min="1540" max="1540" width="13.83203125" style="388" customWidth="1"/>
    <col min="1541" max="1541" width="21.6640625" style="388" customWidth="1"/>
    <col min="1542" max="1543" width="0" style="388" hidden="1" customWidth="1"/>
    <col min="1544" max="1544" width="28.5" style="388" customWidth="1"/>
    <col min="1545" max="1545" width="29.6640625" style="388" customWidth="1"/>
    <col min="1546" max="1546" width="25.83203125" style="388" customWidth="1"/>
    <col min="1547" max="1547" width="16.1640625" style="388" customWidth="1"/>
    <col min="1548" max="1792" width="9.33203125" style="388"/>
    <col min="1793" max="1793" width="105.6640625" style="388" customWidth="1"/>
    <col min="1794" max="1795" width="9.33203125" style="388"/>
    <col min="1796" max="1796" width="13.83203125" style="388" customWidth="1"/>
    <col min="1797" max="1797" width="21.6640625" style="388" customWidth="1"/>
    <col min="1798" max="1799" width="0" style="388" hidden="1" customWidth="1"/>
    <col min="1800" max="1800" width="28.5" style="388" customWidth="1"/>
    <col min="1801" max="1801" width="29.6640625" style="388" customWidth="1"/>
    <col min="1802" max="1802" width="25.83203125" style="388" customWidth="1"/>
    <col min="1803" max="1803" width="16.1640625" style="388" customWidth="1"/>
    <col min="1804" max="2048" width="9.33203125" style="388"/>
    <col min="2049" max="2049" width="105.6640625" style="388" customWidth="1"/>
    <col min="2050" max="2051" width="9.33203125" style="388"/>
    <col min="2052" max="2052" width="13.83203125" style="388" customWidth="1"/>
    <col min="2053" max="2053" width="21.6640625" style="388" customWidth="1"/>
    <col min="2054" max="2055" width="0" style="388" hidden="1" customWidth="1"/>
    <col min="2056" max="2056" width="28.5" style="388" customWidth="1"/>
    <col min="2057" max="2057" width="29.6640625" style="388" customWidth="1"/>
    <col min="2058" max="2058" width="25.83203125" style="388" customWidth="1"/>
    <col min="2059" max="2059" width="16.1640625" style="388" customWidth="1"/>
    <col min="2060" max="2304" width="9.33203125" style="388"/>
    <col min="2305" max="2305" width="105.6640625" style="388" customWidth="1"/>
    <col min="2306" max="2307" width="9.33203125" style="388"/>
    <col min="2308" max="2308" width="13.83203125" style="388" customWidth="1"/>
    <col min="2309" max="2309" width="21.6640625" style="388" customWidth="1"/>
    <col min="2310" max="2311" width="0" style="388" hidden="1" customWidth="1"/>
    <col min="2312" max="2312" width="28.5" style="388" customWidth="1"/>
    <col min="2313" max="2313" width="29.6640625" style="388" customWidth="1"/>
    <col min="2314" max="2314" width="25.83203125" style="388" customWidth="1"/>
    <col min="2315" max="2315" width="16.1640625" style="388" customWidth="1"/>
    <col min="2316" max="2560" width="9.33203125" style="388"/>
    <col min="2561" max="2561" width="105.6640625" style="388" customWidth="1"/>
    <col min="2562" max="2563" width="9.33203125" style="388"/>
    <col min="2564" max="2564" width="13.83203125" style="388" customWidth="1"/>
    <col min="2565" max="2565" width="21.6640625" style="388" customWidth="1"/>
    <col min="2566" max="2567" width="0" style="388" hidden="1" customWidth="1"/>
    <col min="2568" max="2568" width="28.5" style="388" customWidth="1"/>
    <col min="2569" max="2569" width="29.6640625" style="388" customWidth="1"/>
    <col min="2570" max="2570" width="25.83203125" style="388" customWidth="1"/>
    <col min="2571" max="2571" width="16.1640625" style="388" customWidth="1"/>
    <col min="2572" max="2816" width="9.33203125" style="388"/>
    <col min="2817" max="2817" width="105.6640625" style="388" customWidth="1"/>
    <col min="2818" max="2819" width="9.33203125" style="388"/>
    <col min="2820" max="2820" width="13.83203125" style="388" customWidth="1"/>
    <col min="2821" max="2821" width="21.6640625" style="388" customWidth="1"/>
    <col min="2822" max="2823" width="0" style="388" hidden="1" customWidth="1"/>
    <col min="2824" max="2824" width="28.5" style="388" customWidth="1"/>
    <col min="2825" max="2825" width="29.6640625" style="388" customWidth="1"/>
    <col min="2826" max="2826" width="25.83203125" style="388" customWidth="1"/>
    <col min="2827" max="2827" width="16.1640625" style="388" customWidth="1"/>
    <col min="2828" max="3072" width="9.33203125" style="388"/>
    <col min="3073" max="3073" width="105.6640625" style="388" customWidth="1"/>
    <col min="3074" max="3075" width="9.33203125" style="388"/>
    <col min="3076" max="3076" width="13.83203125" style="388" customWidth="1"/>
    <col min="3077" max="3077" width="21.6640625" style="388" customWidth="1"/>
    <col min="3078" max="3079" width="0" style="388" hidden="1" customWidth="1"/>
    <col min="3080" max="3080" width="28.5" style="388" customWidth="1"/>
    <col min="3081" max="3081" width="29.6640625" style="388" customWidth="1"/>
    <col min="3082" max="3082" width="25.83203125" style="388" customWidth="1"/>
    <col min="3083" max="3083" width="16.1640625" style="388" customWidth="1"/>
    <col min="3084" max="3328" width="9.33203125" style="388"/>
    <col min="3329" max="3329" width="105.6640625" style="388" customWidth="1"/>
    <col min="3330" max="3331" width="9.33203125" style="388"/>
    <col min="3332" max="3332" width="13.83203125" style="388" customWidth="1"/>
    <col min="3333" max="3333" width="21.6640625" style="388" customWidth="1"/>
    <col min="3334" max="3335" width="0" style="388" hidden="1" customWidth="1"/>
    <col min="3336" max="3336" width="28.5" style="388" customWidth="1"/>
    <col min="3337" max="3337" width="29.6640625" style="388" customWidth="1"/>
    <col min="3338" max="3338" width="25.83203125" style="388" customWidth="1"/>
    <col min="3339" max="3339" width="16.1640625" style="388" customWidth="1"/>
    <col min="3340" max="3584" width="9.33203125" style="388"/>
    <col min="3585" max="3585" width="105.6640625" style="388" customWidth="1"/>
    <col min="3586" max="3587" width="9.33203125" style="388"/>
    <col min="3588" max="3588" width="13.83203125" style="388" customWidth="1"/>
    <col min="3589" max="3589" width="21.6640625" style="388" customWidth="1"/>
    <col min="3590" max="3591" width="0" style="388" hidden="1" customWidth="1"/>
    <col min="3592" max="3592" width="28.5" style="388" customWidth="1"/>
    <col min="3593" max="3593" width="29.6640625" style="388" customWidth="1"/>
    <col min="3594" max="3594" width="25.83203125" style="388" customWidth="1"/>
    <col min="3595" max="3595" width="16.1640625" style="388" customWidth="1"/>
    <col min="3596" max="3840" width="9.33203125" style="388"/>
    <col min="3841" max="3841" width="105.6640625" style="388" customWidth="1"/>
    <col min="3842" max="3843" width="9.33203125" style="388"/>
    <col min="3844" max="3844" width="13.83203125" style="388" customWidth="1"/>
    <col min="3845" max="3845" width="21.6640625" style="388" customWidth="1"/>
    <col min="3846" max="3847" width="0" style="388" hidden="1" customWidth="1"/>
    <col min="3848" max="3848" width="28.5" style="388" customWidth="1"/>
    <col min="3849" max="3849" width="29.6640625" style="388" customWidth="1"/>
    <col min="3850" max="3850" width="25.83203125" style="388" customWidth="1"/>
    <col min="3851" max="3851" width="16.1640625" style="388" customWidth="1"/>
    <col min="3852" max="4096" width="9.33203125" style="388"/>
    <col min="4097" max="4097" width="105.6640625" style="388" customWidth="1"/>
    <col min="4098" max="4099" width="9.33203125" style="388"/>
    <col min="4100" max="4100" width="13.83203125" style="388" customWidth="1"/>
    <col min="4101" max="4101" width="21.6640625" style="388" customWidth="1"/>
    <col min="4102" max="4103" width="0" style="388" hidden="1" customWidth="1"/>
    <col min="4104" max="4104" width="28.5" style="388" customWidth="1"/>
    <col min="4105" max="4105" width="29.6640625" style="388" customWidth="1"/>
    <col min="4106" max="4106" width="25.83203125" style="388" customWidth="1"/>
    <col min="4107" max="4107" width="16.1640625" style="388" customWidth="1"/>
    <col min="4108" max="4352" width="9.33203125" style="388"/>
    <col min="4353" max="4353" width="105.6640625" style="388" customWidth="1"/>
    <col min="4354" max="4355" width="9.33203125" style="388"/>
    <col min="4356" max="4356" width="13.83203125" style="388" customWidth="1"/>
    <col min="4357" max="4357" width="21.6640625" style="388" customWidth="1"/>
    <col min="4358" max="4359" width="0" style="388" hidden="1" customWidth="1"/>
    <col min="4360" max="4360" width="28.5" style="388" customWidth="1"/>
    <col min="4361" max="4361" width="29.6640625" style="388" customWidth="1"/>
    <col min="4362" max="4362" width="25.83203125" style="388" customWidth="1"/>
    <col min="4363" max="4363" width="16.1640625" style="388" customWidth="1"/>
    <col min="4364" max="4608" width="9.33203125" style="388"/>
    <col min="4609" max="4609" width="105.6640625" style="388" customWidth="1"/>
    <col min="4610" max="4611" width="9.33203125" style="388"/>
    <col min="4612" max="4612" width="13.83203125" style="388" customWidth="1"/>
    <col min="4613" max="4613" width="21.6640625" style="388" customWidth="1"/>
    <col min="4614" max="4615" width="0" style="388" hidden="1" customWidth="1"/>
    <col min="4616" max="4616" width="28.5" style="388" customWidth="1"/>
    <col min="4617" max="4617" width="29.6640625" style="388" customWidth="1"/>
    <col min="4618" max="4618" width="25.83203125" style="388" customWidth="1"/>
    <col min="4619" max="4619" width="16.1640625" style="388" customWidth="1"/>
    <col min="4620" max="4864" width="9.33203125" style="388"/>
    <col min="4865" max="4865" width="105.6640625" style="388" customWidth="1"/>
    <col min="4866" max="4867" width="9.33203125" style="388"/>
    <col min="4868" max="4868" width="13.83203125" style="388" customWidth="1"/>
    <col min="4869" max="4869" width="21.6640625" style="388" customWidth="1"/>
    <col min="4870" max="4871" width="0" style="388" hidden="1" customWidth="1"/>
    <col min="4872" max="4872" width="28.5" style="388" customWidth="1"/>
    <col min="4873" max="4873" width="29.6640625" style="388" customWidth="1"/>
    <col min="4874" max="4874" width="25.83203125" style="388" customWidth="1"/>
    <col min="4875" max="4875" width="16.1640625" style="388" customWidth="1"/>
    <col min="4876" max="5120" width="9.33203125" style="388"/>
    <col min="5121" max="5121" width="105.6640625" style="388" customWidth="1"/>
    <col min="5122" max="5123" width="9.33203125" style="388"/>
    <col min="5124" max="5124" width="13.83203125" style="388" customWidth="1"/>
    <col min="5125" max="5125" width="21.6640625" style="388" customWidth="1"/>
    <col min="5126" max="5127" width="0" style="388" hidden="1" customWidth="1"/>
    <col min="5128" max="5128" width="28.5" style="388" customWidth="1"/>
    <col min="5129" max="5129" width="29.6640625" style="388" customWidth="1"/>
    <col min="5130" max="5130" width="25.83203125" style="388" customWidth="1"/>
    <col min="5131" max="5131" width="16.1640625" style="388" customWidth="1"/>
    <col min="5132" max="5376" width="9.33203125" style="388"/>
    <col min="5377" max="5377" width="105.6640625" style="388" customWidth="1"/>
    <col min="5378" max="5379" width="9.33203125" style="388"/>
    <col min="5380" max="5380" width="13.83203125" style="388" customWidth="1"/>
    <col min="5381" max="5381" width="21.6640625" style="388" customWidth="1"/>
    <col min="5382" max="5383" width="0" style="388" hidden="1" customWidth="1"/>
    <col min="5384" max="5384" width="28.5" style="388" customWidth="1"/>
    <col min="5385" max="5385" width="29.6640625" style="388" customWidth="1"/>
    <col min="5386" max="5386" width="25.83203125" style="388" customWidth="1"/>
    <col min="5387" max="5387" width="16.1640625" style="388" customWidth="1"/>
    <col min="5388" max="5632" width="9.33203125" style="388"/>
    <col min="5633" max="5633" width="105.6640625" style="388" customWidth="1"/>
    <col min="5634" max="5635" width="9.33203125" style="388"/>
    <col min="5636" max="5636" width="13.83203125" style="388" customWidth="1"/>
    <col min="5637" max="5637" width="21.6640625" style="388" customWidth="1"/>
    <col min="5638" max="5639" width="0" style="388" hidden="1" customWidth="1"/>
    <col min="5640" max="5640" width="28.5" style="388" customWidth="1"/>
    <col min="5641" max="5641" width="29.6640625" style="388" customWidth="1"/>
    <col min="5642" max="5642" width="25.83203125" style="388" customWidth="1"/>
    <col min="5643" max="5643" width="16.1640625" style="388" customWidth="1"/>
    <col min="5644" max="5888" width="9.33203125" style="388"/>
    <col min="5889" max="5889" width="105.6640625" style="388" customWidth="1"/>
    <col min="5890" max="5891" width="9.33203125" style="388"/>
    <col min="5892" max="5892" width="13.83203125" style="388" customWidth="1"/>
    <col min="5893" max="5893" width="21.6640625" style="388" customWidth="1"/>
    <col min="5894" max="5895" width="0" style="388" hidden="1" customWidth="1"/>
    <col min="5896" max="5896" width="28.5" style="388" customWidth="1"/>
    <col min="5897" max="5897" width="29.6640625" style="388" customWidth="1"/>
    <col min="5898" max="5898" width="25.83203125" style="388" customWidth="1"/>
    <col min="5899" max="5899" width="16.1640625" style="388" customWidth="1"/>
    <col min="5900" max="6144" width="9.33203125" style="388"/>
    <col min="6145" max="6145" width="105.6640625" style="388" customWidth="1"/>
    <col min="6146" max="6147" width="9.33203125" style="388"/>
    <col min="6148" max="6148" width="13.83203125" style="388" customWidth="1"/>
    <col min="6149" max="6149" width="21.6640625" style="388" customWidth="1"/>
    <col min="6150" max="6151" width="0" style="388" hidden="1" customWidth="1"/>
    <col min="6152" max="6152" width="28.5" style="388" customWidth="1"/>
    <col min="6153" max="6153" width="29.6640625" style="388" customWidth="1"/>
    <col min="6154" max="6154" width="25.83203125" style="388" customWidth="1"/>
    <col min="6155" max="6155" width="16.1640625" style="388" customWidth="1"/>
    <col min="6156" max="6400" width="9.33203125" style="388"/>
    <col min="6401" max="6401" width="105.6640625" style="388" customWidth="1"/>
    <col min="6402" max="6403" width="9.33203125" style="388"/>
    <col min="6404" max="6404" width="13.83203125" style="388" customWidth="1"/>
    <col min="6405" max="6405" width="21.6640625" style="388" customWidth="1"/>
    <col min="6406" max="6407" width="0" style="388" hidden="1" customWidth="1"/>
    <col min="6408" max="6408" width="28.5" style="388" customWidth="1"/>
    <col min="6409" max="6409" width="29.6640625" style="388" customWidth="1"/>
    <col min="6410" max="6410" width="25.83203125" style="388" customWidth="1"/>
    <col min="6411" max="6411" width="16.1640625" style="388" customWidth="1"/>
    <col min="6412" max="6656" width="9.33203125" style="388"/>
    <col min="6657" max="6657" width="105.6640625" style="388" customWidth="1"/>
    <col min="6658" max="6659" width="9.33203125" style="388"/>
    <col min="6660" max="6660" width="13.83203125" style="388" customWidth="1"/>
    <col min="6661" max="6661" width="21.6640625" style="388" customWidth="1"/>
    <col min="6662" max="6663" width="0" style="388" hidden="1" customWidth="1"/>
    <col min="6664" max="6664" width="28.5" style="388" customWidth="1"/>
    <col min="6665" max="6665" width="29.6640625" style="388" customWidth="1"/>
    <col min="6666" max="6666" width="25.83203125" style="388" customWidth="1"/>
    <col min="6667" max="6667" width="16.1640625" style="388" customWidth="1"/>
    <col min="6668" max="6912" width="9.33203125" style="388"/>
    <col min="6913" max="6913" width="105.6640625" style="388" customWidth="1"/>
    <col min="6914" max="6915" width="9.33203125" style="388"/>
    <col min="6916" max="6916" width="13.83203125" style="388" customWidth="1"/>
    <col min="6917" max="6917" width="21.6640625" style="388" customWidth="1"/>
    <col min="6918" max="6919" width="0" style="388" hidden="1" customWidth="1"/>
    <col min="6920" max="6920" width="28.5" style="388" customWidth="1"/>
    <col min="6921" max="6921" width="29.6640625" style="388" customWidth="1"/>
    <col min="6922" max="6922" width="25.83203125" style="388" customWidth="1"/>
    <col min="6923" max="6923" width="16.1640625" style="388" customWidth="1"/>
    <col min="6924" max="7168" width="9.33203125" style="388"/>
    <col min="7169" max="7169" width="105.6640625" style="388" customWidth="1"/>
    <col min="7170" max="7171" width="9.33203125" style="388"/>
    <col min="7172" max="7172" width="13.83203125" style="388" customWidth="1"/>
    <col min="7173" max="7173" width="21.6640625" style="388" customWidth="1"/>
    <col min="7174" max="7175" width="0" style="388" hidden="1" customWidth="1"/>
    <col min="7176" max="7176" width="28.5" style="388" customWidth="1"/>
    <col min="7177" max="7177" width="29.6640625" style="388" customWidth="1"/>
    <col min="7178" max="7178" width="25.83203125" style="388" customWidth="1"/>
    <col min="7179" max="7179" width="16.1640625" style="388" customWidth="1"/>
    <col min="7180" max="7424" width="9.33203125" style="388"/>
    <col min="7425" max="7425" width="105.6640625" style="388" customWidth="1"/>
    <col min="7426" max="7427" width="9.33203125" style="388"/>
    <col min="7428" max="7428" width="13.83203125" style="388" customWidth="1"/>
    <col min="7429" max="7429" width="21.6640625" style="388" customWidth="1"/>
    <col min="7430" max="7431" width="0" style="388" hidden="1" customWidth="1"/>
    <col min="7432" max="7432" width="28.5" style="388" customWidth="1"/>
    <col min="7433" max="7433" width="29.6640625" style="388" customWidth="1"/>
    <col min="7434" max="7434" width="25.83203125" style="388" customWidth="1"/>
    <col min="7435" max="7435" width="16.1640625" style="388" customWidth="1"/>
    <col min="7436" max="7680" width="9.33203125" style="388"/>
    <col min="7681" max="7681" width="105.6640625" style="388" customWidth="1"/>
    <col min="7682" max="7683" width="9.33203125" style="388"/>
    <col min="7684" max="7684" width="13.83203125" style="388" customWidth="1"/>
    <col min="7685" max="7685" width="21.6640625" style="388" customWidth="1"/>
    <col min="7686" max="7687" width="0" style="388" hidden="1" customWidth="1"/>
    <col min="7688" max="7688" width="28.5" style="388" customWidth="1"/>
    <col min="7689" max="7689" width="29.6640625" style="388" customWidth="1"/>
    <col min="7690" max="7690" width="25.83203125" style="388" customWidth="1"/>
    <col min="7691" max="7691" width="16.1640625" style="388" customWidth="1"/>
    <col min="7692" max="7936" width="9.33203125" style="388"/>
    <col min="7937" max="7937" width="105.6640625" style="388" customWidth="1"/>
    <col min="7938" max="7939" width="9.33203125" style="388"/>
    <col min="7940" max="7940" width="13.83203125" style="388" customWidth="1"/>
    <col min="7941" max="7941" width="21.6640625" style="388" customWidth="1"/>
    <col min="7942" max="7943" width="0" style="388" hidden="1" customWidth="1"/>
    <col min="7944" max="7944" width="28.5" style="388" customWidth="1"/>
    <col min="7945" max="7945" width="29.6640625" style="388" customWidth="1"/>
    <col min="7946" max="7946" width="25.83203125" style="388" customWidth="1"/>
    <col min="7947" max="7947" width="16.1640625" style="388" customWidth="1"/>
    <col min="7948" max="8192" width="9.33203125" style="388"/>
    <col min="8193" max="8193" width="105.6640625" style="388" customWidth="1"/>
    <col min="8194" max="8195" width="9.33203125" style="388"/>
    <col min="8196" max="8196" width="13.83203125" style="388" customWidth="1"/>
    <col min="8197" max="8197" width="21.6640625" style="388" customWidth="1"/>
    <col min="8198" max="8199" width="0" style="388" hidden="1" customWidth="1"/>
    <col min="8200" max="8200" width="28.5" style="388" customWidth="1"/>
    <col min="8201" max="8201" width="29.6640625" style="388" customWidth="1"/>
    <col min="8202" max="8202" width="25.83203125" style="388" customWidth="1"/>
    <col min="8203" max="8203" width="16.1640625" style="388" customWidth="1"/>
    <col min="8204" max="8448" width="9.33203125" style="388"/>
    <col min="8449" max="8449" width="105.6640625" style="388" customWidth="1"/>
    <col min="8450" max="8451" width="9.33203125" style="388"/>
    <col min="8452" max="8452" width="13.83203125" style="388" customWidth="1"/>
    <col min="8453" max="8453" width="21.6640625" style="388" customWidth="1"/>
    <col min="8454" max="8455" width="0" style="388" hidden="1" customWidth="1"/>
    <col min="8456" max="8456" width="28.5" style="388" customWidth="1"/>
    <col min="8457" max="8457" width="29.6640625" style="388" customWidth="1"/>
    <col min="8458" max="8458" width="25.83203125" style="388" customWidth="1"/>
    <col min="8459" max="8459" width="16.1640625" style="388" customWidth="1"/>
    <col min="8460" max="8704" width="9.33203125" style="388"/>
    <col min="8705" max="8705" width="105.6640625" style="388" customWidth="1"/>
    <col min="8706" max="8707" width="9.33203125" style="388"/>
    <col min="8708" max="8708" width="13.83203125" style="388" customWidth="1"/>
    <col min="8709" max="8709" width="21.6640625" style="388" customWidth="1"/>
    <col min="8710" max="8711" width="0" style="388" hidden="1" customWidth="1"/>
    <col min="8712" max="8712" width="28.5" style="388" customWidth="1"/>
    <col min="8713" max="8713" width="29.6640625" style="388" customWidth="1"/>
    <col min="8714" max="8714" width="25.83203125" style="388" customWidth="1"/>
    <col min="8715" max="8715" width="16.1640625" style="388" customWidth="1"/>
    <col min="8716" max="8960" width="9.33203125" style="388"/>
    <col min="8961" max="8961" width="105.6640625" style="388" customWidth="1"/>
    <col min="8962" max="8963" width="9.33203125" style="388"/>
    <col min="8964" max="8964" width="13.83203125" style="388" customWidth="1"/>
    <col min="8965" max="8965" width="21.6640625" style="388" customWidth="1"/>
    <col min="8966" max="8967" width="0" style="388" hidden="1" customWidth="1"/>
    <col min="8968" max="8968" width="28.5" style="388" customWidth="1"/>
    <col min="8969" max="8969" width="29.6640625" style="388" customWidth="1"/>
    <col min="8970" max="8970" width="25.83203125" style="388" customWidth="1"/>
    <col min="8971" max="8971" width="16.1640625" style="388" customWidth="1"/>
    <col min="8972" max="9216" width="9.33203125" style="388"/>
    <col min="9217" max="9217" width="105.6640625" style="388" customWidth="1"/>
    <col min="9218" max="9219" width="9.33203125" style="388"/>
    <col min="9220" max="9220" width="13.83203125" style="388" customWidth="1"/>
    <col min="9221" max="9221" width="21.6640625" style="388" customWidth="1"/>
    <col min="9222" max="9223" width="0" style="388" hidden="1" customWidth="1"/>
    <col min="9224" max="9224" width="28.5" style="388" customWidth="1"/>
    <col min="9225" max="9225" width="29.6640625" style="388" customWidth="1"/>
    <col min="9226" max="9226" width="25.83203125" style="388" customWidth="1"/>
    <col min="9227" max="9227" width="16.1640625" style="388" customWidth="1"/>
    <col min="9228" max="9472" width="9.33203125" style="388"/>
    <col min="9473" max="9473" width="105.6640625" style="388" customWidth="1"/>
    <col min="9474" max="9475" width="9.33203125" style="388"/>
    <col min="9476" max="9476" width="13.83203125" style="388" customWidth="1"/>
    <col min="9477" max="9477" width="21.6640625" style="388" customWidth="1"/>
    <col min="9478" max="9479" width="0" style="388" hidden="1" customWidth="1"/>
    <col min="9480" max="9480" width="28.5" style="388" customWidth="1"/>
    <col min="9481" max="9481" width="29.6640625" style="388" customWidth="1"/>
    <col min="9482" max="9482" width="25.83203125" style="388" customWidth="1"/>
    <col min="9483" max="9483" width="16.1640625" style="388" customWidth="1"/>
    <col min="9484" max="9728" width="9.33203125" style="388"/>
    <col min="9729" max="9729" width="105.6640625" style="388" customWidth="1"/>
    <col min="9730" max="9731" width="9.33203125" style="388"/>
    <col min="9732" max="9732" width="13.83203125" style="388" customWidth="1"/>
    <col min="9733" max="9733" width="21.6640625" style="388" customWidth="1"/>
    <col min="9734" max="9735" width="0" style="388" hidden="1" customWidth="1"/>
    <col min="9736" max="9736" width="28.5" style="388" customWidth="1"/>
    <col min="9737" max="9737" width="29.6640625" style="388" customWidth="1"/>
    <col min="9738" max="9738" width="25.83203125" style="388" customWidth="1"/>
    <col min="9739" max="9739" width="16.1640625" style="388" customWidth="1"/>
    <col min="9740" max="9984" width="9.33203125" style="388"/>
    <col min="9985" max="9985" width="105.6640625" style="388" customWidth="1"/>
    <col min="9986" max="9987" width="9.33203125" style="388"/>
    <col min="9988" max="9988" width="13.83203125" style="388" customWidth="1"/>
    <col min="9989" max="9989" width="21.6640625" style="388" customWidth="1"/>
    <col min="9990" max="9991" width="0" style="388" hidden="1" customWidth="1"/>
    <col min="9992" max="9992" width="28.5" style="388" customWidth="1"/>
    <col min="9993" max="9993" width="29.6640625" style="388" customWidth="1"/>
    <col min="9994" max="9994" width="25.83203125" style="388" customWidth="1"/>
    <col min="9995" max="9995" width="16.1640625" style="388" customWidth="1"/>
    <col min="9996" max="10240" width="9.33203125" style="388"/>
    <col min="10241" max="10241" width="105.6640625" style="388" customWidth="1"/>
    <col min="10242" max="10243" width="9.33203125" style="388"/>
    <col min="10244" max="10244" width="13.83203125" style="388" customWidth="1"/>
    <col min="10245" max="10245" width="21.6640625" style="388" customWidth="1"/>
    <col min="10246" max="10247" width="0" style="388" hidden="1" customWidth="1"/>
    <col min="10248" max="10248" width="28.5" style="388" customWidth="1"/>
    <col min="10249" max="10249" width="29.6640625" style="388" customWidth="1"/>
    <col min="10250" max="10250" width="25.83203125" style="388" customWidth="1"/>
    <col min="10251" max="10251" width="16.1640625" style="388" customWidth="1"/>
    <col min="10252" max="10496" width="9.33203125" style="388"/>
    <col min="10497" max="10497" width="105.6640625" style="388" customWidth="1"/>
    <col min="10498" max="10499" width="9.33203125" style="388"/>
    <col min="10500" max="10500" width="13.83203125" style="388" customWidth="1"/>
    <col min="10501" max="10501" width="21.6640625" style="388" customWidth="1"/>
    <col min="10502" max="10503" width="0" style="388" hidden="1" customWidth="1"/>
    <col min="10504" max="10504" width="28.5" style="388" customWidth="1"/>
    <col min="10505" max="10505" width="29.6640625" style="388" customWidth="1"/>
    <col min="10506" max="10506" width="25.83203125" style="388" customWidth="1"/>
    <col min="10507" max="10507" width="16.1640625" style="388" customWidth="1"/>
    <col min="10508" max="10752" width="9.33203125" style="388"/>
    <col min="10753" max="10753" width="105.6640625" style="388" customWidth="1"/>
    <col min="10754" max="10755" width="9.33203125" style="388"/>
    <col min="10756" max="10756" width="13.83203125" style="388" customWidth="1"/>
    <col min="10757" max="10757" width="21.6640625" style="388" customWidth="1"/>
    <col min="10758" max="10759" width="0" style="388" hidden="1" customWidth="1"/>
    <col min="10760" max="10760" width="28.5" style="388" customWidth="1"/>
    <col min="10761" max="10761" width="29.6640625" style="388" customWidth="1"/>
    <col min="10762" max="10762" width="25.83203125" style="388" customWidth="1"/>
    <col min="10763" max="10763" width="16.1640625" style="388" customWidth="1"/>
    <col min="10764" max="11008" width="9.33203125" style="388"/>
    <col min="11009" max="11009" width="105.6640625" style="388" customWidth="1"/>
    <col min="11010" max="11011" width="9.33203125" style="388"/>
    <col min="11012" max="11012" width="13.83203125" style="388" customWidth="1"/>
    <col min="11013" max="11013" width="21.6640625" style="388" customWidth="1"/>
    <col min="11014" max="11015" width="0" style="388" hidden="1" customWidth="1"/>
    <col min="11016" max="11016" width="28.5" style="388" customWidth="1"/>
    <col min="11017" max="11017" width="29.6640625" style="388" customWidth="1"/>
    <col min="11018" max="11018" width="25.83203125" style="388" customWidth="1"/>
    <col min="11019" max="11019" width="16.1640625" style="388" customWidth="1"/>
    <col min="11020" max="11264" width="9.33203125" style="388"/>
    <col min="11265" max="11265" width="105.6640625" style="388" customWidth="1"/>
    <col min="11266" max="11267" width="9.33203125" style="388"/>
    <col min="11268" max="11268" width="13.83203125" style="388" customWidth="1"/>
    <col min="11269" max="11269" width="21.6640625" style="388" customWidth="1"/>
    <col min="11270" max="11271" width="0" style="388" hidden="1" customWidth="1"/>
    <col min="11272" max="11272" width="28.5" style="388" customWidth="1"/>
    <col min="11273" max="11273" width="29.6640625" style="388" customWidth="1"/>
    <col min="11274" max="11274" width="25.83203125" style="388" customWidth="1"/>
    <col min="11275" max="11275" width="16.1640625" style="388" customWidth="1"/>
    <col min="11276" max="11520" width="9.33203125" style="388"/>
    <col min="11521" max="11521" width="105.6640625" style="388" customWidth="1"/>
    <col min="11522" max="11523" width="9.33203125" style="388"/>
    <col min="11524" max="11524" width="13.83203125" style="388" customWidth="1"/>
    <col min="11525" max="11525" width="21.6640625" style="388" customWidth="1"/>
    <col min="11526" max="11527" width="0" style="388" hidden="1" customWidth="1"/>
    <col min="11528" max="11528" width="28.5" style="388" customWidth="1"/>
    <col min="11529" max="11529" width="29.6640625" style="388" customWidth="1"/>
    <col min="11530" max="11530" width="25.83203125" style="388" customWidth="1"/>
    <col min="11531" max="11531" width="16.1640625" style="388" customWidth="1"/>
    <col min="11532" max="11776" width="9.33203125" style="388"/>
    <col min="11777" max="11777" width="105.6640625" style="388" customWidth="1"/>
    <col min="11778" max="11779" width="9.33203125" style="388"/>
    <col min="11780" max="11780" width="13.83203125" style="388" customWidth="1"/>
    <col min="11781" max="11781" width="21.6640625" style="388" customWidth="1"/>
    <col min="11782" max="11783" width="0" style="388" hidden="1" customWidth="1"/>
    <col min="11784" max="11784" width="28.5" style="388" customWidth="1"/>
    <col min="11785" max="11785" width="29.6640625" style="388" customWidth="1"/>
    <col min="11786" max="11786" width="25.83203125" style="388" customWidth="1"/>
    <col min="11787" max="11787" width="16.1640625" style="388" customWidth="1"/>
    <col min="11788" max="12032" width="9.33203125" style="388"/>
    <col min="12033" max="12033" width="105.6640625" style="388" customWidth="1"/>
    <col min="12034" max="12035" width="9.33203125" style="388"/>
    <col min="12036" max="12036" width="13.83203125" style="388" customWidth="1"/>
    <col min="12037" max="12037" width="21.6640625" style="388" customWidth="1"/>
    <col min="12038" max="12039" width="0" style="388" hidden="1" customWidth="1"/>
    <col min="12040" max="12040" width="28.5" style="388" customWidth="1"/>
    <col min="12041" max="12041" width="29.6640625" style="388" customWidth="1"/>
    <col min="12042" max="12042" width="25.83203125" style="388" customWidth="1"/>
    <col min="12043" max="12043" width="16.1640625" style="388" customWidth="1"/>
    <col min="12044" max="12288" width="9.33203125" style="388"/>
    <col min="12289" max="12289" width="105.6640625" style="388" customWidth="1"/>
    <col min="12290" max="12291" width="9.33203125" style="388"/>
    <col min="12292" max="12292" width="13.83203125" style="388" customWidth="1"/>
    <col min="12293" max="12293" width="21.6640625" style="388" customWidth="1"/>
    <col min="12294" max="12295" width="0" style="388" hidden="1" customWidth="1"/>
    <col min="12296" max="12296" width="28.5" style="388" customWidth="1"/>
    <col min="12297" max="12297" width="29.6640625" style="388" customWidth="1"/>
    <col min="12298" max="12298" width="25.83203125" style="388" customWidth="1"/>
    <col min="12299" max="12299" width="16.1640625" style="388" customWidth="1"/>
    <col min="12300" max="12544" width="9.33203125" style="388"/>
    <col min="12545" max="12545" width="105.6640625" style="388" customWidth="1"/>
    <col min="12546" max="12547" width="9.33203125" style="388"/>
    <col min="12548" max="12548" width="13.83203125" style="388" customWidth="1"/>
    <col min="12549" max="12549" width="21.6640625" style="388" customWidth="1"/>
    <col min="12550" max="12551" width="0" style="388" hidden="1" customWidth="1"/>
    <col min="12552" max="12552" width="28.5" style="388" customWidth="1"/>
    <col min="12553" max="12553" width="29.6640625" style="388" customWidth="1"/>
    <col min="12554" max="12554" width="25.83203125" style="388" customWidth="1"/>
    <col min="12555" max="12555" width="16.1640625" style="388" customWidth="1"/>
    <col min="12556" max="12800" width="9.33203125" style="388"/>
    <col min="12801" max="12801" width="105.6640625" style="388" customWidth="1"/>
    <col min="12802" max="12803" width="9.33203125" style="388"/>
    <col min="12804" max="12804" width="13.83203125" style="388" customWidth="1"/>
    <col min="12805" max="12805" width="21.6640625" style="388" customWidth="1"/>
    <col min="12806" max="12807" width="0" style="388" hidden="1" customWidth="1"/>
    <col min="12808" max="12808" width="28.5" style="388" customWidth="1"/>
    <col min="12809" max="12809" width="29.6640625" style="388" customWidth="1"/>
    <col min="12810" max="12810" width="25.83203125" style="388" customWidth="1"/>
    <col min="12811" max="12811" width="16.1640625" style="388" customWidth="1"/>
    <col min="12812" max="13056" width="9.33203125" style="388"/>
    <col min="13057" max="13057" width="105.6640625" style="388" customWidth="1"/>
    <col min="13058" max="13059" width="9.33203125" style="388"/>
    <col min="13060" max="13060" width="13.83203125" style="388" customWidth="1"/>
    <col min="13061" max="13061" width="21.6640625" style="388" customWidth="1"/>
    <col min="13062" max="13063" width="0" style="388" hidden="1" customWidth="1"/>
    <col min="13064" max="13064" width="28.5" style="388" customWidth="1"/>
    <col min="13065" max="13065" width="29.6640625" style="388" customWidth="1"/>
    <col min="13066" max="13066" width="25.83203125" style="388" customWidth="1"/>
    <col min="13067" max="13067" width="16.1640625" style="388" customWidth="1"/>
    <col min="13068" max="13312" width="9.33203125" style="388"/>
    <col min="13313" max="13313" width="105.6640625" style="388" customWidth="1"/>
    <col min="13314" max="13315" width="9.33203125" style="388"/>
    <col min="13316" max="13316" width="13.83203125" style="388" customWidth="1"/>
    <col min="13317" max="13317" width="21.6640625" style="388" customWidth="1"/>
    <col min="13318" max="13319" width="0" style="388" hidden="1" customWidth="1"/>
    <col min="13320" max="13320" width="28.5" style="388" customWidth="1"/>
    <col min="13321" max="13321" width="29.6640625" style="388" customWidth="1"/>
    <col min="13322" max="13322" width="25.83203125" style="388" customWidth="1"/>
    <col min="13323" max="13323" width="16.1640625" style="388" customWidth="1"/>
    <col min="13324" max="13568" width="9.33203125" style="388"/>
    <col min="13569" max="13569" width="105.6640625" style="388" customWidth="1"/>
    <col min="13570" max="13571" width="9.33203125" style="388"/>
    <col min="13572" max="13572" width="13.83203125" style="388" customWidth="1"/>
    <col min="13573" max="13573" width="21.6640625" style="388" customWidth="1"/>
    <col min="13574" max="13575" width="0" style="388" hidden="1" customWidth="1"/>
    <col min="13576" max="13576" width="28.5" style="388" customWidth="1"/>
    <col min="13577" max="13577" width="29.6640625" style="388" customWidth="1"/>
    <col min="13578" max="13578" width="25.83203125" style="388" customWidth="1"/>
    <col min="13579" max="13579" width="16.1640625" style="388" customWidth="1"/>
    <col min="13580" max="13824" width="9.33203125" style="388"/>
    <col min="13825" max="13825" width="105.6640625" style="388" customWidth="1"/>
    <col min="13826" max="13827" width="9.33203125" style="388"/>
    <col min="13828" max="13828" width="13.83203125" style="388" customWidth="1"/>
    <col min="13829" max="13829" width="21.6640625" style="388" customWidth="1"/>
    <col min="13830" max="13831" width="0" style="388" hidden="1" customWidth="1"/>
    <col min="13832" max="13832" width="28.5" style="388" customWidth="1"/>
    <col min="13833" max="13833" width="29.6640625" style="388" customWidth="1"/>
    <col min="13834" max="13834" width="25.83203125" style="388" customWidth="1"/>
    <col min="13835" max="13835" width="16.1640625" style="388" customWidth="1"/>
    <col min="13836" max="14080" width="9.33203125" style="388"/>
    <col min="14081" max="14081" width="105.6640625" style="388" customWidth="1"/>
    <col min="14082" max="14083" width="9.33203125" style="388"/>
    <col min="14084" max="14084" width="13.83203125" style="388" customWidth="1"/>
    <col min="14085" max="14085" width="21.6640625" style="388" customWidth="1"/>
    <col min="14086" max="14087" width="0" style="388" hidden="1" customWidth="1"/>
    <col min="14088" max="14088" width="28.5" style="388" customWidth="1"/>
    <col min="14089" max="14089" width="29.6640625" style="388" customWidth="1"/>
    <col min="14090" max="14090" width="25.83203125" style="388" customWidth="1"/>
    <col min="14091" max="14091" width="16.1640625" style="388" customWidth="1"/>
    <col min="14092" max="14336" width="9.33203125" style="388"/>
    <col min="14337" max="14337" width="105.6640625" style="388" customWidth="1"/>
    <col min="14338" max="14339" width="9.33203125" style="388"/>
    <col min="14340" max="14340" width="13.83203125" style="388" customWidth="1"/>
    <col min="14341" max="14341" width="21.6640625" style="388" customWidth="1"/>
    <col min="14342" max="14343" width="0" style="388" hidden="1" customWidth="1"/>
    <col min="14344" max="14344" width="28.5" style="388" customWidth="1"/>
    <col min="14345" max="14345" width="29.6640625" style="388" customWidth="1"/>
    <col min="14346" max="14346" width="25.83203125" style="388" customWidth="1"/>
    <col min="14347" max="14347" width="16.1640625" style="388" customWidth="1"/>
    <col min="14348" max="14592" width="9.33203125" style="388"/>
    <col min="14593" max="14593" width="105.6640625" style="388" customWidth="1"/>
    <col min="14594" max="14595" width="9.33203125" style="388"/>
    <col min="14596" max="14596" width="13.83203125" style="388" customWidth="1"/>
    <col min="14597" max="14597" width="21.6640625" style="388" customWidth="1"/>
    <col min="14598" max="14599" width="0" style="388" hidden="1" customWidth="1"/>
    <col min="14600" max="14600" width="28.5" style="388" customWidth="1"/>
    <col min="14601" max="14601" width="29.6640625" style="388" customWidth="1"/>
    <col min="14602" max="14602" width="25.83203125" style="388" customWidth="1"/>
    <col min="14603" max="14603" width="16.1640625" style="388" customWidth="1"/>
    <col min="14604" max="14848" width="9.33203125" style="388"/>
    <col min="14849" max="14849" width="105.6640625" style="388" customWidth="1"/>
    <col min="14850" max="14851" width="9.33203125" style="388"/>
    <col min="14852" max="14852" width="13.83203125" style="388" customWidth="1"/>
    <col min="14853" max="14853" width="21.6640625" style="388" customWidth="1"/>
    <col min="14854" max="14855" width="0" style="388" hidden="1" customWidth="1"/>
    <col min="14856" max="14856" width="28.5" style="388" customWidth="1"/>
    <col min="14857" max="14857" width="29.6640625" style="388" customWidth="1"/>
    <col min="14858" max="14858" width="25.83203125" style="388" customWidth="1"/>
    <col min="14859" max="14859" width="16.1640625" style="388" customWidth="1"/>
    <col min="14860" max="15104" width="9.33203125" style="388"/>
    <col min="15105" max="15105" width="105.6640625" style="388" customWidth="1"/>
    <col min="15106" max="15107" width="9.33203125" style="388"/>
    <col min="15108" max="15108" width="13.83203125" style="388" customWidth="1"/>
    <col min="15109" max="15109" width="21.6640625" style="388" customWidth="1"/>
    <col min="15110" max="15111" width="0" style="388" hidden="1" customWidth="1"/>
    <col min="15112" max="15112" width="28.5" style="388" customWidth="1"/>
    <col min="15113" max="15113" width="29.6640625" style="388" customWidth="1"/>
    <col min="15114" max="15114" width="25.83203125" style="388" customWidth="1"/>
    <col min="15115" max="15115" width="16.1640625" style="388" customWidth="1"/>
    <col min="15116" max="15360" width="9.33203125" style="388"/>
    <col min="15361" max="15361" width="105.6640625" style="388" customWidth="1"/>
    <col min="15362" max="15363" width="9.33203125" style="388"/>
    <col min="15364" max="15364" width="13.83203125" style="388" customWidth="1"/>
    <col min="15365" max="15365" width="21.6640625" style="388" customWidth="1"/>
    <col min="15366" max="15367" width="0" style="388" hidden="1" customWidth="1"/>
    <col min="15368" max="15368" width="28.5" style="388" customWidth="1"/>
    <col min="15369" max="15369" width="29.6640625" style="388" customWidth="1"/>
    <col min="15370" max="15370" width="25.83203125" style="388" customWidth="1"/>
    <col min="15371" max="15371" width="16.1640625" style="388" customWidth="1"/>
    <col min="15372" max="15616" width="9.33203125" style="388"/>
    <col min="15617" max="15617" width="105.6640625" style="388" customWidth="1"/>
    <col min="15618" max="15619" width="9.33203125" style="388"/>
    <col min="15620" max="15620" width="13.83203125" style="388" customWidth="1"/>
    <col min="15621" max="15621" width="21.6640625" style="388" customWidth="1"/>
    <col min="15622" max="15623" width="0" style="388" hidden="1" customWidth="1"/>
    <col min="15624" max="15624" width="28.5" style="388" customWidth="1"/>
    <col min="15625" max="15625" width="29.6640625" style="388" customWidth="1"/>
    <col min="15626" max="15626" width="25.83203125" style="388" customWidth="1"/>
    <col min="15627" max="15627" width="16.1640625" style="388" customWidth="1"/>
    <col min="15628" max="15872" width="9.33203125" style="388"/>
    <col min="15873" max="15873" width="105.6640625" style="388" customWidth="1"/>
    <col min="15874" max="15875" width="9.33203125" style="388"/>
    <col min="15876" max="15876" width="13.83203125" style="388" customWidth="1"/>
    <col min="15877" max="15877" width="21.6640625" style="388" customWidth="1"/>
    <col min="15878" max="15879" width="0" style="388" hidden="1" customWidth="1"/>
    <col min="15880" max="15880" width="28.5" style="388" customWidth="1"/>
    <col min="15881" max="15881" width="29.6640625" style="388" customWidth="1"/>
    <col min="15882" max="15882" width="25.83203125" style="388" customWidth="1"/>
    <col min="15883" max="15883" width="16.1640625" style="388" customWidth="1"/>
    <col min="15884" max="16128" width="9.33203125" style="388"/>
    <col min="16129" max="16129" width="105.6640625" style="388" customWidth="1"/>
    <col min="16130" max="16131" width="9.33203125" style="388"/>
    <col min="16132" max="16132" width="13.83203125" style="388" customWidth="1"/>
    <col min="16133" max="16133" width="21.6640625" style="388" customWidth="1"/>
    <col min="16134" max="16135" width="0" style="388" hidden="1" customWidth="1"/>
    <col min="16136" max="16136" width="28.5" style="388" customWidth="1"/>
    <col min="16137" max="16137" width="29.6640625" style="388" customWidth="1"/>
    <col min="16138" max="16138" width="25.83203125" style="388" customWidth="1"/>
    <col min="16139" max="16139" width="16.1640625" style="388" customWidth="1"/>
    <col min="16140" max="16384" width="9.33203125" style="388"/>
  </cols>
  <sheetData>
    <row r="2" spans="1:11" x14ac:dyDescent="0.2">
      <c r="F2" s="392"/>
      <c r="G2" s="392"/>
      <c r="H2" s="392" t="s">
        <v>848</v>
      </c>
    </row>
    <row r="3" spans="1:11" x14ac:dyDescent="0.2">
      <c r="F3" s="392"/>
      <c r="G3" s="392"/>
      <c r="H3" s="392" t="s">
        <v>849</v>
      </c>
    </row>
    <row r="4" spans="1:11" ht="38.25" x14ac:dyDescent="0.2">
      <c r="F4" s="392"/>
      <c r="G4" s="392"/>
      <c r="H4" s="393" t="s">
        <v>1123</v>
      </c>
    </row>
    <row r="5" spans="1:11" hidden="1" x14ac:dyDescent="0.2">
      <c r="F5" s="392"/>
      <c r="G5" s="392"/>
      <c r="H5" s="392"/>
    </row>
    <row r="6" spans="1:11" x14ac:dyDescent="0.2">
      <c r="F6" s="392"/>
      <c r="G6" s="392"/>
      <c r="H6" s="392"/>
    </row>
    <row r="7" spans="1:11" x14ac:dyDescent="0.2">
      <c r="F7" s="392"/>
      <c r="G7" s="392"/>
      <c r="H7" s="392" t="s">
        <v>850</v>
      </c>
    </row>
    <row r="8" spans="1:11" ht="46.5" customHeight="1" x14ac:dyDescent="0.2">
      <c r="A8" s="590" t="s">
        <v>851</v>
      </c>
      <c r="B8" s="590"/>
      <c r="C8" s="590"/>
      <c r="D8" s="590"/>
      <c r="E8" s="590"/>
      <c r="F8" s="590"/>
      <c r="G8" s="590"/>
      <c r="H8" s="590"/>
    </row>
    <row r="9" spans="1:11" ht="15.75" customHeight="1" x14ac:dyDescent="0.2">
      <c r="A9" s="394"/>
      <c r="B9" s="395"/>
      <c r="C9" s="395"/>
      <c r="D9" s="395"/>
      <c r="E9" s="395"/>
      <c r="F9" s="396"/>
      <c r="G9" s="396"/>
      <c r="H9" s="396" t="s">
        <v>852</v>
      </c>
    </row>
    <row r="10" spans="1:11" ht="15" customHeight="1" x14ac:dyDescent="0.2">
      <c r="A10" s="591" t="s">
        <v>853</v>
      </c>
      <c r="B10" s="592" t="s">
        <v>854</v>
      </c>
      <c r="C10" s="593" t="s">
        <v>855</v>
      </c>
      <c r="D10" s="593" t="s">
        <v>856</v>
      </c>
      <c r="E10" s="593" t="s">
        <v>857</v>
      </c>
      <c r="F10" s="594" t="s">
        <v>858</v>
      </c>
      <c r="G10" s="594" t="s">
        <v>859</v>
      </c>
      <c r="H10" s="594" t="s">
        <v>860</v>
      </c>
    </row>
    <row r="11" spans="1:11" ht="12.75" customHeight="1" x14ac:dyDescent="0.2">
      <c r="A11" s="591"/>
      <c r="B11" s="592"/>
      <c r="C11" s="593"/>
      <c r="D11" s="593"/>
      <c r="E11" s="593"/>
      <c r="F11" s="594"/>
      <c r="G11" s="594"/>
      <c r="H11" s="594"/>
    </row>
    <row r="12" spans="1:11" ht="49.5" customHeight="1" x14ac:dyDescent="0.2">
      <c r="A12" s="591"/>
      <c r="B12" s="592"/>
      <c r="C12" s="593"/>
      <c r="D12" s="593"/>
      <c r="E12" s="593"/>
      <c r="F12" s="594"/>
      <c r="G12" s="594"/>
      <c r="H12" s="594"/>
    </row>
    <row r="13" spans="1:11" s="403" customFormat="1" ht="14.25" x14ac:dyDescent="0.2">
      <c r="A13" s="397">
        <v>1</v>
      </c>
      <c r="B13" s="397">
        <v>2</v>
      </c>
      <c r="C13" s="398" t="s">
        <v>711</v>
      </c>
      <c r="D13" s="398" t="s">
        <v>719</v>
      </c>
      <c r="E13" s="398" t="s">
        <v>773</v>
      </c>
      <c r="F13" s="399"/>
      <c r="G13" s="399"/>
      <c r="H13" s="400">
        <v>6</v>
      </c>
      <c r="I13" s="401"/>
      <c r="J13" s="402"/>
      <c r="K13" s="402"/>
    </row>
    <row r="14" spans="1:11" ht="24.75" customHeight="1" x14ac:dyDescent="0.2">
      <c r="A14" s="404" t="s">
        <v>861</v>
      </c>
      <c r="B14" s="405" t="s">
        <v>289</v>
      </c>
      <c r="C14" s="406" t="s">
        <v>707</v>
      </c>
      <c r="D14" s="406" t="s">
        <v>707</v>
      </c>
      <c r="E14" s="406" t="s">
        <v>862</v>
      </c>
      <c r="F14" s="407">
        <v>1665065363.0599999</v>
      </c>
      <c r="G14" s="407" t="e">
        <f>G15+#REF!+G46+G64+G99+G128+G133+G159+G220+G226+G235+#REF!</f>
        <v>#REF!</v>
      </c>
      <c r="H14" s="408">
        <f>H15+H42+H46+H64+H81+H85+H93+H99+H128+H133+H143+H159+H220+H235</f>
        <v>241364774.80999997</v>
      </c>
    </row>
    <row r="15" spans="1:11" ht="20.25" customHeight="1" x14ac:dyDescent="0.2">
      <c r="A15" s="404" t="s">
        <v>863</v>
      </c>
      <c r="B15" s="405" t="s">
        <v>289</v>
      </c>
      <c r="C15" s="406" t="s">
        <v>864</v>
      </c>
      <c r="D15" s="406" t="s">
        <v>707</v>
      </c>
      <c r="E15" s="406" t="s">
        <v>862</v>
      </c>
      <c r="F15" s="407">
        <v>401040866.54000002</v>
      </c>
      <c r="G15" s="407" t="e">
        <f>G16+G25+G28+G32+#REF!+G30+G20</f>
        <v>#REF!</v>
      </c>
      <c r="H15" s="407">
        <f>H16</f>
        <v>58584304.659999996</v>
      </c>
      <c r="I15" s="409"/>
    </row>
    <row r="16" spans="1:11" ht="20.25" customHeight="1" x14ac:dyDescent="0.2">
      <c r="A16" s="404" t="s">
        <v>865</v>
      </c>
      <c r="B16" s="405" t="s">
        <v>289</v>
      </c>
      <c r="C16" s="406" t="s">
        <v>864</v>
      </c>
      <c r="D16" s="406" t="s">
        <v>707</v>
      </c>
      <c r="E16" s="406" t="s">
        <v>866</v>
      </c>
      <c r="F16" s="407">
        <v>11617234.890000001</v>
      </c>
      <c r="G16" s="407">
        <f>G17</f>
        <v>0</v>
      </c>
      <c r="H16" s="407">
        <f>H17+H25+H32+H30+H28+H20</f>
        <v>58584304.659999996</v>
      </c>
      <c r="I16" s="409"/>
    </row>
    <row r="17" spans="1:11" ht="31.5" x14ac:dyDescent="0.2">
      <c r="A17" s="404" t="s">
        <v>169</v>
      </c>
      <c r="B17" s="405" t="s">
        <v>289</v>
      </c>
      <c r="C17" s="406" t="s">
        <v>864</v>
      </c>
      <c r="D17" s="406" t="s">
        <v>867</v>
      </c>
      <c r="E17" s="406" t="s">
        <v>866</v>
      </c>
      <c r="F17" s="407">
        <v>11617234.890000001</v>
      </c>
      <c r="G17" s="407">
        <f>G18</f>
        <v>0</v>
      </c>
      <c r="H17" s="408">
        <f>H18</f>
        <v>2504216.91</v>
      </c>
      <c r="I17" s="409"/>
    </row>
    <row r="18" spans="1:11" ht="21.75" customHeight="1" x14ac:dyDescent="0.2">
      <c r="A18" s="410" t="s">
        <v>868</v>
      </c>
      <c r="B18" s="411" t="s">
        <v>289</v>
      </c>
      <c r="C18" s="411" t="s">
        <v>864</v>
      </c>
      <c r="D18" s="411" t="s">
        <v>867</v>
      </c>
      <c r="E18" s="411" t="s">
        <v>866</v>
      </c>
      <c r="F18" s="412">
        <v>11617234.890000001</v>
      </c>
      <c r="G18" s="412"/>
      <c r="H18" s="412">
        <v>2504216.91</v>
      </c>
      <c r="I18" s="409"/>
    </row>
    <row r="19" spans="1:11" s="414" customFormat="1" hidden="1" x14ac:dyDescent="0.2">
      <c r="A19" s="410"/>
      <c r="B19" s="411"/>
      <c r="C19" s="411"/>
      <c r="D19" s="411"/>
      <c r="E19" s="411"/>
      <c r="F19" s="412"/>
      <c r="G19" s="412"/>
      <c r="H19" s="412"/>
      <c r="I19" s="409"/>
      <c r="J19" s="413"/>
      <c r="K19" s="413"/>
    </row>
    <row r="20" spans="1:11" ht="20.25" x14ac:dyDescent="0.2">
      <c r="A20" s="404" t="s">
        <v>371</v>
      </c>
      <c r="B20" s="406" t="s">
        <v>289</v>
      </c>
      <c r="C20" s="406" t="s">
        <v>864</v>
      </c>
      <c r="D20" s="406" t="s">
        <v>720</v>
      </c>
      <c r="E20" s="406" t="s">
        <v>862</v>
      </c>
      <c r="F20" s="407">
        <v>150000</v>
      </c>
      <c r="G20" s="407">
        <f>G21</f>
        <v>0</v>
      </c>
      <c r="H20" s="408">
        <f>H21</f>
        <v>11250</v>
      </c>
      <c r="I20" s="409"/>
    </row>
    <row r="21" spans="1:11" ht="31.5" x14ac:dyDescent="0.2">
      <c r="A21" s="404" t="s">
        <v>869</v>
      </c>
      <c r="B21" s="405" t="s">
        <v>289</v>
      </c>
      <c r="C21" s="406" t="s">
        <v>864</v>
      </c>
      <c r="D21" s="406" t="s">
        <v>720</v>
      </c>
      <c r="E21" s="406" t="s">
        <v>870</v>
      </c>
      <c r="F21" s="407">
        <v>150000</v>
      </c>
      <c r="G21" s="407">
        <f>G22</f>
        <v>0</v>
      </c>
      <c r="H21" s="407">
        <f>H22</f>
        <v>11250</v>
      </c>
      <c r="I21" s="409"/>
    </row>
    <row r="22" spans="1:11" x14ac:dyDescent="0.2">
      <c r="A22" s="410" t="s">
        <v>871</v>
      </c>
      <c r="B22" s="415" t="s">
        <v>289</v>
      </c>
      <c r="C22" s="411" t="s">
        <v>864</v>
      </c>
      <c r="D22" s="411" t="s">
        <v>720</v>
      </c>
      <c r="E22" s="411" t="s">
        <v>870</v>
      </c>
      <c r="F22" s="412">
        <v>150000</v>
      </c>
      <c r="G22" s="412"/>
      <c r="H22" s="412">
        <v>11250</v>
      </c>
      <c r="I22" s="409"/>
    </row>
    <row r="23" spans="1:11" hidden="1" x14ac:dyDescent="0.2">
      <c r="A23" s="410" t="s">
        <v>872</v>
      </c>
      <c r="B23" s="415" t="s">
        <v>373</v>
      </c>
      <c r="C23" s="411" t="s">
        <v>864</v>
      </c>
      <c r="D23" s="411" t="s">
        <v>720</v>
      </c>
      <c r="E23" s="411" t="s">
        <v>873</v>
      </c>
      <c r="F23" s="412"/>
      <c r="G23" s="412"/>
      <c r="H23" s="412">
        <v>0</v>
      </c>
      <c r="I23" s="409"/>
    </row>
    <row r="24" spans="1:11" s="414" customFormat="1" hidden="1" x14ac:dyDescent="0.2">
      <c r="A24" s="410"/>
      <c r="B24" s="415"/>
      <c r="C24" s="411"/>
      <c r="D24" s="411"/>
      <c r="E24" s="411"/>
      <c r="F24" s="412"/>
      <c r="G24" s="412"/>
      <c r="H24" s="412"/>
      <c r="I24" s="409"/>
      <c r="J24" s="413"/>
      <c r="K24" s="413"/>
    </row>
    <row r="25" spans="1:11" ht="19.5" customHeight="1" x14ac:dyDescent="0.2">
      <c r="A25" s="404" t="s">
        <v>865</v>
      </c>
      <c r="B25" s="405" t="s">
        <v>289</v>
      </c>
      <c r="C25" s="406" t="s">
        <v>864</v>
      </c>
      <c r="D25" s="406" t="s">
        <v>874</v>
      </c>
      <c r="E25" s="406" t="s">
        <v>870</v>
      </c>
      <c r="F25" s="407">
        <v>357891665.62</v>
      </c>
      <c r="G25" s="407">
        <f>G26</f>
        <v>-952164.46</v>
      </c>
      <c r="H25" s="408">
        <f>H26</f>
        <v>16972927.84</v>
      </c>
      <c r="I25" s="409"/>
    </row>
    <row r="26" spans="1:11" ht="31.5" x14ac:dyDescent="0.2">
      <c r="A26" s="404" t="s">
        <v>875</v>
      </c>
      <c r="B26" s="405" t="s">
        <v>289</v>
      </c>
      <c r="C26" s="406" t="s">
        <v>864</v>
      </c>
      <c r="D26" s="406" t="s">
        <v>874</v>
      </c>
      <c r="E26" s="411" t="s">
        <v>870</v>
      </c>
      <c r="F26" s="407">
        <v>357891665.62</v>
      </c>
      <c r="G26" s="407">
        <f>G27</f>
        <v>-952164.46</v>
      </c>
      <c r="H26" s="407">
        <f>H27</f>
        <v>16972927.84</v>
      </c>
      <c r="I26" s="409"/>
    </row>
    <row r="27" spans="1:11" x14ac:dyDescent="0.2">
      <c r="A27" s="410" t="s">
        <v>871</v>
      </c>
      <c r="B27" s="415" t="s">
        <v>289</v>
      </c>
      <c r="C27" s="411" t="s">
        <v>864</v>
      </c>
      <c r="D27" s="411" t="s">
        <v>874</v>
      </c>
      <c r="E27" s="411" t="s">
        <v>870</v>
      </c>
      <c r="F27" s="412">
        <v>357891665.62</v>
      </c>
      <c r="G27" s="416">
        <v>-952164.46</v>
      </c>
      <c r="H27" s="412">
        <v>16972927.84</v>
      </c>
      <c r="I27" s="409"/>
    </row>
    <row r="28" spans="1:11" ht="19.5" customHeight="1" x14ac:dyDescent="0.2">
      <c r="A28" s="404" t="s">
        <v>865</v>
      </c>
      <c r="B28" s="405" t="s">
        <v>289</v>
      </c>
      <c r="C28" s="406" t="s">
        <v>864</v>
      </c>
      <c r="D28" s="406" t="s">
        <v>876</v>
      </c>
      <c r="E28" s="406" t="s">
        <v>862</v>
      </c>
      <c r="F28" s="407">
        <v>200000</v>
      </c>
      <c r="G28" s="407">
        <f>G29</f>
        <v>0</v>
      </c>
      <c r="H28" s="407">
        <f>H29</f>
        <v>860000</v>
      </c>
      <c r="I28" s="409"/>
    </row>
    <row r="29" spans="1:11" ht="27" customHeight="1" x14ac:dyDescent="0.2">
      <c r="A29" s="417" t="s">
        <v>877</v>
      </c>
      <c r="B29" s="415" t="s">
        <v>289</v>
      </c>
      <c r="C29" s="411" t="s">
        <v>864</v>
      </c>
      <c r="D29" s="411" t="s">
        <v>876</v>
      </c>
      <c r="E29" s="418" t="s">
        <v>878</v>
      </c>
      <c r="F29" s="412">
        <v>200000</v>
      </c>
      <c r="G29" s="416"/>
      <c r="H29" s="412">
        <v>860000</v>
      </c>
      <c r="I29" s="409"/>
    </row>
    <row r="30" spans="1:11" ht="24" customHeight="1" x14ac:dyDescent="0.2">
      <c r="A30" s="419" t="s">
        <v>879</v>
      </c>
      <c r="B30" s="405" t="s">
        <v>289</v>
      </c>
      <c r="C30" s="406" t="s">
        <v>864</v>
      </c>
      <c r="D30" s="406" t="s">
        <v>880</v>
      </c>
      <c r="E30" s="420" t="s">
        <v>881</v>
      </c>
      <c r="F30" s="407">
        <v>4096216.1</v>
      </c>
      <c r="G30" s="421">
        <f>796516.22-149000.66+4255351.71+146000+473475.14+1086893.46-473475.14+389967.33</f>
        <v>6525728.0599999996</v>
      </c>
      <c r="H30" s="407">
        <v>100000</v>
      </c>
      <c r="I30" s="409"/>
    </row>
    <row r="31" spans="1:11" s="414" customFormat="1" ht="1.5" customHeight="1" x14ac:dyDescent="0.2">
      <c r="A31" s="419"/>
      <c r="B31" s="405"/>
      <c r="C31" s="406"/>
      <c r="D31" s="406"/>
      <c r="E31" s="420"/>
      <c r="F31" s="407"/>
      <c r="G31" s="421"/>
      <c r="H31" s="407"/>
      <c r="I31" s="409"/>
      <c r="J31" s="413"/>
      <c r="K31" s="413"/>
    </row>
    <row r="32" spans="1:11" ht="22.5" customHeight="1" x14ac:dyDescent="0.2">
      <c r="A32" s="404" t="s">
        <v>322</v>
      </c>
      <c r="B32" s="405" t="s">
        <v>289</v>
      </c>
      <c r="C32" s="406" t="s">
        <v>864</v>
      </c>
      <c r="D32" s="406" t="s">
        <v>882</v>
      </c>
      <c r="E32" s="406" t="s">
        <v>862</v>
      </c>
      <c r="F32" s="407">
        <v>24615965.27</v>
      </c>
      <c r="G32" s="407" t="e">
        <f>G33</f>
        <v>#REF!</v>
      </c>
      <c r="H32" s="408">
        <v>38135909.909999996</v>
      </c>
      <c r="I32" s="409"/>
    </row>
    <row r="33" spans="1:11" ht="21.75" customHeight="1" x14ac:dyDescent="0.2">
      <c r="A33" s="404" t="s">
        <v>865</v>
      </c>
      <c r="B33" s="405" t="s">
        <v>289</v>
      </c>
      <c r="C33" s="406" t="s">
        <v>864</v>
      </c>
      <c r="D33" s="406" t="s">
        <v>882</v>
      </c>
      <c r="E33" s="406" t="s">
        <v>358</v>
      </c>
      <c r="F33" s="407">
        <v>24615965.27</v>
      </c>
      <c r="G33" s="407" t="e">
        <f>G34+#REF!</f>
        <v>#REF!</v>
      </c>
      <c r="H33" s="407">
        <f>'[1]Приложение 4'!AA110+'[1]Приложение 4'!AA139+'[1]Приложение 4'!AA157</f>
        <v>0</v>
      </c>
      <c r="I33" s="409"/>
    </row>
    <row r="34" spans="1:11" ht="21.75" customHeight="1" x14ac:dyDescent="0.2">
      <c r="A34" s="404" t="s">
        <v>275</v>
      </c>
      <c r="B34" s="406" t="s">
        <v>289</v>
      </c>
      <c r="C34" s="406" t="s">
        <v>864</v>
      </c>
      <c r="D34" s="406" t="s">
        <v>882</v>
      </c>
      <c r="E34" s="406" t="s">
        <v>862</v>
      </c>
      <c r="F34" s="407">
        <v>21589694</v>
      </c>
      <c r="G34" s="407">
        <f>SUM(G37:G39)</f>
        <v>620000</v>
      </c>
      <c r="H34" s="407">
        <f>H37+H38+H39+H35+H36+H40</f>
        <v>5007950.18</v>
      </c>
    </row>
    <row r="35" spans="1:11" ht="21.75" customHeight="1" x14ac:dyDescent="0.2">
      <c r="A35" s="410" t="s">
        <v>883</v>
      </c>
      <c r="B35" s="411" t="s">
        <v>289</v>
      </c>
      <c r="C35" s="411" t="s">
        <v>864</v>
      </c>
      <c r="D35" s="411" t="s">
        <v>882</v>
      </c>
      <c r="E35" s="411" t="s">
        <v>358</v>
      </c>
      <c r="F35" s="407"/>
      <c r="G35" s="407"/>
      <c r="H35" s="412">
        <f>'[1]Приложение 3'!H24</f>
        <v>327600</v>
      </c>
    </row>
    <row r="36" spans="1:11" ht="21.75" customHeight="1" x14ac:dyDescent="0.2">
      <c r="A36" s="410" t="s">
        <v>884</v>
      </c>
      <c r="B36" s="411" t="s">
        <v>289</v>
      </c>
      <c r="C36" s="411" t="s">
        <v>864</v>
      </c>
      <c r="D36" s="411" t="s">
        <v>882</v>
      </c>
      <c r="E36" s="411" t="s">
        <v>358</v>
      </c>
      <c r="F36" s="407"/>
      <c r="G36" s="407"/>
      <c r="H36" s="412">
        <f>'[1]Приложение 3'!H25</f>
        <v>125031</v>
      </c>
    </row>
    <row r="37" spans="1:11" s="428" customFormat="1" x14ac:dyDescent="0.2">
      <c r="A37" s="422" t="s">
        <v>885</v>
      </c>
      <c r="B37" s="423" t="s">
        <v>289</v>
      </c>
      <c r="C37" s="423" t="s">
        <v>864</v>
      </c>
      <c r="D37" s="423" t="s">
        <v>882</v>
      </c>
      <c r="E37" s="423" t="s">
        <v>370</v>
      </c>
      <c r="F37" s="424">
        <v>1841902</v>
      </c>
      <c r="G37" s="425"/>
      <c r="H37" s="424">
        <v>200000</v>
      </c>
      <c r="I37" s="426"/>
      <c r="J37" s="427"/>
      <c r="K37" s="427"/>
    </row>
    <row r="38" spans="1:11" ht="30" x14ac:dyDescent="0.2">
      <c r="A38" s="422" t="s">
        <v>688</v>
      </c>
      <c r="B38" s="423" t="s">
        <v>289</v>
      </c>
      <c r="C38" s="423" t="s">
        <v>864</v>
      </c>
      <c r="D38" s="423" t="s">
        <v>882</v>
      </c>
      <c r="E38" s="423" t="s">
        <v>361</v>
      </c>
      <c r="F38" s="429">
        <v>2000000</v>
      </c>
      <c r="G38" s="429"/>
      <c r="H38" s="429">
        <v>3000000</v>
      </c>
    </row>
    <row r="39" spans="1:11" ht="22.5" customHeight="1" x14ac:dyDescent="0.2">
      <c r="A39" s="430" t="s">
        <v>886</v>
      </c>
      <c r="B39" s="423" t="s">
        <v>289</v>
      </c>
      <c r="C39" s="423" t="s">
        <v>864</v>
      </c>
      <c r="D39" s="423" t="s">
        <v>882</v>
      </c>
      <c r="E39" s="423" t="s">
        <v>370</v>
      </c>
      <c r="F39" s="429">
        <v>15572500</v>
      </c>
      <c r="G39" s="431">
        <f>1620000-1000000</f>
        <v>620000</v>
      </c>
      <c r="H39" s="429">
        <v>143856.84</v>
      </c>
    </row>
    <row r="40" spans="1:11" ht="50.25" customHeight="1" x14ac:dyDescent="0.2">
      <c r="A40" s="430" t="s">
        <v>887</v>
      </c>
      <c r="B40" s="411" t="s">
        <v>289</v>
      </c>
      <c r="C40" s="411" t="s">
        <v>864</v>
      </c>
      <c r="D40" s="411" t="s">
        <v>882</v>
      </c>
      <c r="E40" s="411" t="s">
        <v>358</v>
      </c>
      <c r="F40" s="429"/>
      <c r="G40" s="431"/>
      <c r="H40" s="429">
        <v>1211462.3399999999</v>
      </c>
    </row>
    <row r="41" spans="1:11" ht="15.75" hidden="1" x14ac:dyDescent="0.2">
      <c r="A41" s="432"/>
      <c r="B41" s="415"/>
      <c r="C41" s="411"/>
      <c r="D41" s="411"/>
      <c r="E41" s="411"/>
      <c r="F41" s="416"/>
      <c r="G41" s="416"/>
      <c r="H41" s="416"/>
    </row>
    <row r="42" spans="1:11" ht="23.25" customHeight="1" x14ac:dyDescent="0.2">
      <c r="A42" s="433" t="s">
        <v>398</v>
      </c>
      <c r="B42" s="405" t="s">
        <v>289</v>
      </c>
      <c r="C42" s="406" t="s">
        <v>867</v>
      </c>
      <c r="D42" s="406" t="s">
        <v>720</v>
      </c>
      <c r="E42" s="406" t="s">
        <v>888</v>
      </c>
      <c r="F42" s="407">
        <v>17806215.799999997</v>
      </c>
      <c r="G42" s="407">
        <f>G43+G49+G56</f>
        <v>0</v>
      </c>
      <c r="H42" s="407">
        <f>H43</f>
        <v>1083600</v>
      </c>
    </row>
    <row r="43" spans="1:11" ht="15.75" x14ac:dyDescent="0.2">
      <c r="A43" s="432" t="s">
        <v>403</v>
      </c>
      <c r="B43" s="405" t="s">
        <v>289</v>
      </c>
      <c r="C43" s="406" t="s">
        <v>867</v>
      </c>
      <c r="D43" s="406" t="s">
        <v>720</v>
      </c>
      <c r="E43" s="406" t="s">
        <v>888</v>
      </c>
      <c r="F43" s="421"/>
      <c r="G43" s="421"/>
      <c r="H43" s="421">
        <f>H44</f>
        <v>1083600</v>
      </c>
    </row>
    <row r="44" spans="1:11" ht="30" customHeight="1" x14ac:dyDescent="0.2">
      <c r="A44" s="404" t="s">
        <v>889</v>
      </c>
      <c r="B44" s="405" t="s">
        <v>289</v>
      </c>
      <c r="C44" s="406" t="s">
        <v>867</v>
      </c>
      <c r="D44" s="406" t="s">
        <v>720</v>
      </c>
      <c r="E44" s="406" t="s">
        <v>888</v>
      </c>
      <c r="F44" s="421"/>
      <c r="G44" s="421"/>
      <c r="H44" s="421">
        <v>1083600</v>
      </c>
    </row>
    <row r="45" spans="1:11" ht="15.75" hidden="1" x14ac:dyDescent="0.2">
      <c r="A45" s="404"/>
      <c r="B45" s="415"/>
      <c r="C45" s="411"/>
      <c r="D45" s="411"/>
      <c r="E45" s="411"/>
      <c r="F45" s="416"/>
      <c r="G45" s="416"/>
      <c r="H45" s="416"/>
    </row>
    <row r="46" spans="1:11" ht="23.25" customHeight="1" x14ac:dyDescent="0.2">
      <c r="A46" s="433" t="s">
        <v>409</v>
      </c>
      <c r="B46" s="405" t="s">
        <v>289</v>
      </c>
      <c r="C46" s="406" t="s">
        <v>720</v>
      </c>
      <c r="D46" s="406" t="s">
        <v>707</v>
      </c>
      <c r="E46" s="406" t="s">
        <v>862</v>
      </c>
      <c r="F46" s="407">
        <v>17806215.799999997</v>
      </c>
      <c r="G46" s="407">
        <f>G47+G52+G59</f>
        <v>0</v>
      </c>
      <c r="H46" s="408">
        <f>H47+H52</f>
        <v>9997699.4399999995</v>
      </c>
    </row>
    <row r="47" spans="1:11" ht="15.75" x14ac:dyDescent="0.2">
      <c r="A47" s="434" t="s">
        <v>411</v>
      </c>
      <c r="B47" s="405" t="s">
        <v>289</v>
      </c>
      <c r="C47" s="406" t="s">
        <v>720</v>
      </c>
      <c r="D47" s="406" t="s">
        <v>874</v>
      </c>
      <c r="E47" s="406" t="s">
        <v>862</v>
      </c>
      <c r="F47" s="407">
        <v>433300</v>
      </c>
      <c r="G47" s="407">
        <f t="shared" ref="G47:H49" si="0">G48</f>
        <v>0</v>
      </c>
      <c r="H47" s="407">
        <f t="shared" si="0"/>
        <v>22000</v>
      </c>
    </row>
    <row r="48" spans="1:11" ht="31.5" customHeight="1" x14ac:dyDescent="0.2">
      <c r="A48" s="404" t="s">
        <v>889</v>
      </c>
      <c r="B48" s="405" t="s">
        <v>289</v>
      </c>
      <c r="C48" s="406" t="s">
        <v>720</v>
      </c>
      <c r="D48" s="406" t="s">
        <v>874</v>
      </c>
      <c r="E48" s="406" t="s">
        <v>862</v>
      </c>
      <c r="F48" s="407">
        <v>433300</v>
      </c>
      <c r="G48" s="407">
        <f t="shared" si="0"/>
        <v>0</v>
      </c>
      <c r="H48" s="407">
        <f t="shared" si="0"/>
        <v>22000</v>
      </c>
    </row>
    <row r="49" spans="1:11" s="437" customFormat="1" ht="15.75" x14ac:dyDescent="0.25">
      <c r="A49" s="432" t="s">
        <v>795</v>
      </c>
      <c r="B49" s="405" t="s">
        <v>289</v>
      </c>
      <c r="C49" s="406" t="s">
        <v>720</v>
      </c>
      <c r="D49" s="406" t="s">
        <v>874</v>
      </c>
      <c r="E49" s="406" t="s">
        <v>890</v>
      </c>
      <c r="F49" s="407">
        <v>433300</v>
      </c>
      <c r="G49" s="407">
        <f t="shared" si="0"/>
        <v>0</v>
      </c>
      <c r="H49" s="407">
        <f t="shared" si="0"/>
        <v>22000</v>
      </c>
      <c r="I49" s="435"/>
      <c r="J49" s="436"/>
      <c r="K49" s="436"/>
    </row>
    <row r="50" spans="1:11" ht="30" x14ac:dyDescent="0.2">
      <c r="A50" s="438" t="s">
        <v>891</v>
      </c>
      <c r="B50" s="415" t="s">
        <v>289</v>
      </c>
      <c r="C50" s="411" t="s">
        <v>720</v>
      </c>
      <c r="D50" s="411" t="s">
        <v>874</v>
      </c>
      <c r="E50" s="411" t="s">
        <v>890</v>
      </c>
      <c r="F50" s="412">
        <v>433300</v>
      </c>
      <c r="G50" s="412"/>
      <c r="H50" s="412">
        <v>22000</v>
      </c>
    </row>
    <row r="51" spans="1:11" ht="30" hidden="1" customHeight="1" x14ac:dyDescent="0.2">
      <c r="A51" s="404"/>
      <c r="B51" s="405"/>
      <c r="C51" s="406"/>
      <c r="D51" s="406"/>
      <c r="E51" s="406"/>
      <c r="F51" s="421"/>
      <c r="G51" s="421"/>
      <c r="H51" s="421"/>
    </row>
    <row r="52" spans="1:11" ht="31.5" x14ac:dyDescent="0.2">
      <c r="A52" s="432" t="s">
        <v>892</v>
      </c>
      <c r="B52" s="405" t="s">
        <v>289</v>
      </c>
      <c r="C52" s="406" t="s">
        <v>720</v>
      </c>
      <c r="D52" s="406" t="s">
        <v>893</v>
      </c>
      <c r="E52" s="406" t="s">
        <v>862</v>
      </c>
      <c r="F52" s="407">
        <v>13038289.129999999</v>
      </c>
      <c r="G52" s="407">
        <f>G53+G56</f>
        <v>0</v>
      </c>
      <c r="H52" s="407">
        <f>H53</f>
        <v>9975699.4399999995</v>
      </c>
    </row>
    <row r="53" spans="1:11" ht="15.75" x14ac:dyDescent="0.2">
      <c r="A53" s="404" t="s">
        <v>639</v>
      </c>
      <c r="B53" s="405" t="s">
        <v>289</v>
      </c>
      <c r="C53" s="406" t="s">
        <v>720</v>
      </c>
      <c r="D53" s="406" t="s">
        <v>893</v>
      </c>
      <c r="E53" s="406" t="s">
        <v>894</v>
      </c>
      <c r="F53" s="407">
        <v>11835017.129999999</v>
      </c>
      <c r="G53" s="407">
        <f>G54</f>
        <v>0</v>
      </c>
      <c r="H53" s="407">
        <f>SUM(H54:H63)</f>
        <v>9975699.4399999995</v>
      </c>
    </row>
    <row r="54" spans="1:11" ht="30" x14ac:dyDescent="0.2">
      <c r="A54" s="410" t="s">
        <v>895</v>
      </c>
      <c r="B54" s="415" t="s">
        <v>289</v>
      </c>
      <c r="C54" s="411" t="s">
        <v>720</v>
      </c>
      <c r="D54" s="411" t="s">
        <v>893</v>
      </c>
      <c r="E54" s="411" t="s">
        <v>422</v>
      </c>
      <c r="F54" s="412">
        <v>11835017.129999999</v>
      </c>
      <c r="G54" s="416"/>
      <c r="H54" s="412">
        <v>9783699.4399999995</v>
      </c>
    </row>
    <row r="55" spans="1:11" ht="30" hidden="1" x14ac:dyDescent="0.2">
      <c r="A55" s="439" t="s">
        <v>896</v>
      </c>
      <c r="B55" s="440" t="s">
        <v>373</v>
      </c>
      <c r="C55" s="423" t="s">
        <v>720</v>
      </c>
      <c r="D55" s="423" t="s">
        <v>897</v>
      </c>
      <c r="E55" s="423" t="s">
        <v>898</v>
      </c>
      <c r="F55" s="429">
        <v>849000</v>
      </c>
      <c r="G55" s="431"/>
      <c r="H55" s="429"/>
    </row>
    <row r="56" spans="1:11" ht="15.75" hidden="1" x14ac:dyDescent="0.2">
      <c r="A56" s="404" t="s">
        <v>371</v>
      </c>
      <c r="B56" s="405" t="s">
        <v>373</v>
      </c>
      <c r="C56" s="406" t="s">
        <v>720</v>
      </c>
      <c r="D56" s="406" t="s">
        <v>897</v>
      </c>
      <c r="E56" s="387">
        <v>9950000000</v>
      </c>
      <c r="F56" s="407">
        <v>1203272</v>
      </c>
      <c r="G56" s="407">
        <f>G57</f>
        <v>0</v>
      </c>
      <c r="H56" s="407">
        <v>0</v>
      </c>
    </row>
    <row r="57" spans="1:11" ht="45" hidden="1" x14ac:dyDescent="0.2">
      <c r="A57" s="441" t="s">
        <v>899</v>
      </c>
      <c r="B57" s="415" t="s">
        <v>373</v>
      </c>
      <c r="C57" s="411" t="s">
        <v>720</v>
      </c>
      <c r="D57" s="411" t="s">
        <v>897</v>
      </c>
      <c r="E57" s="411" t="s">
        <v>900</v>
      </c>
      <c r="F57" s="412">
        <v>1203272</v>
      </c>
      <c r="G57" s="416"/>
      <c r="H57" s="412">
        <v>0</v>
      </c>
    </row>
    <row r="58" spans="1:11" hidden="1" x14ac:dyDescent="0.2">
      <c r="A58" s="441"/>
      <c r="B58" s="415"/>
      <c r="C58" s="411"/>
      <c r="D58" s="411"/>
      <c r="E58" s="411"/>
      <c r="F58" s="412"/>
      <c r="G58" s="416"/>
      <c r="H58" s="412"/>
    </row>
    <row r="59" spans="1:11" ht="31.5" hidden="1" x14ac:dyDescent="0.2">
      <c r="A59" s="433" t="s">
        <v>901</v>
      </c>
      <c r="B59" s="405" t="s">
        <v>289</v>
      </c>
      <c r="C59" s="406" t="s">
        <v>720</v>
      </c>
      <c r="D59" s="406" t="s">
        <v>902</v>
      </c>
      <c r="E59" s="406" t="s">
        <v>862</v>
      </c>
      <c r="F59" s="407">
        <v>4334626.67</v>
      </c>
      <c r="G59" s="407">
        <f>G60</f>
        <v>0</v>
      </c>
      <c r="H59" s="407">
        <f>H60</f>
        <v>0</v>
      </c>
    </row>
    <row r="60" spans="1:11" ht="45" hidden="1" x14ac:dyDescent="0.2">
      <c r="A60" s="410" t="s">
        <v>903</v>
      </c>
      <c r="B60" s="415" t="s">
        <v>289</v>
      </c>
      <c r="C60" s="411" t="s">
        <v>720</v>
      </c>
      <c r="D60" s="411" t="s">
        <v>902</v>
      </c>
      <c r="E60" s="411" t="s">
        <v>904</v>
      </c>
      <c r="F60" s="412">
        <v>4334626.67</v>
      </c>
      <c r="G60" s="416"/>
      <c r="H60" s="412">
        <f>H62</f>
        <v>0</v>
      </c>
    </row>
    <row r="61" spans="1:11" ht="30" hidden="1" x14ac:dyDescent="0.2">
      <c r="A61" s="439" t="s">
        <v>896</v>
      </c>
      <c r="B61" s="440" t="s">
        <v>373</v>
      </c>
      <c r="C61" s="423" t="s">
        <v>720</v>
      </c>
      <c r="D61" s="423" t="s">
        <v>902</v>
      </c>
      <c r="E61" s="423" t="s">
        <v>905</v>
      </c>
      <c r="F61" s="429">
        <v>713626.67</v>
      </c>
      <c r="G61" s="431"/>
      <c r="H61" s="429"/>
    </row>
    <row r="62" spans="1:11" ht="60" hidden="1" x14ac:dyDescent="0.2">
      <c r="A62" s="430" t="s">
        <v>906</v>
      </c>
      <c r="B62" s="405" t="s">
        <v>289</v>
      </c>
      <c r="C62" s="406" t="s">
        <v>720</v>
      </c>
      <c r="D62" s="406" t="s">
        <v>902</v>
      </c>
      <c r="E62" s="406" t="s">
        <v>907</v>
      </c>
      <c r="F62" s="416"/>
      <c r="G62" s="416"/>
      <c r="H62" s="416">
        <v>0</v>
      </c>
      <c r="I62" s="409"/>
    </row>
    <row r="63" spans="1:11" s="414" customFormat="1" ht="60" x14ac:dyDescent="0.2">
      <c r="A63" s="430" t="s">
        <v>908</v>
      </c>
      <c r="B63" s="415" t="s">
        <v>289</v>
      </c>
      <c r="C63" s="411" t="s">
        <v>720</v>
      </c>
      <c r="D63" s="411" t="s">
        <v>893</v>
      </c>
      <c r="E63" s="411" t="s">
        <v>425</v>
      </c>
      <c r="F63" s="416"/>
      <c r="G63" s="416"/>
      <c r="H63" s="416">
        <v>192000</v>
      </c>
      <c r="I63" s="409"/>
      <c r="J63" s="413"/>
      <c r="K63" s="413"/>
    </row>
    <row r="64" spans="1:11" ht="27.75" customHeight="1" x14ac:dyDescent="0.2">
      <c r="A64" s="433" t="s">
        <v>909</v>
      </c>
      <c r="B64" s="405" t="s">
        <v>289</v>
      </c>
      <c r="C64" s="406" t="s">
        <v>874</v>
      </c>
      <c r="D64" s="406" t="s">
        <v>707</v>
      </c>
      <c r="E64" s="406" t="s">
        <v>862</v>
      </c>
      <c r="F64" s="407">
        <v>371609780.43000001</v>
      </c>
      <c r="G64" s="407" t="e">
        <f>G85+G93+G81+G65+G69</f>
        <v>#REF!</v>
      </c>
      <c r="H64" s="408">
        <f>SUM(H79+H71+H70)</f>
        <v>104796.23999999999</v>
      </c>
      <c r="I64" s="409"/>
    </row>
    <row r="65" spans="1:11" ht="15.75" hidden="1" x14ac:dyDescent="0.2">
      <c r="A65" s="404" t="s">
        <v>910</v>
      </c>
      <c r="B65" s="405" t="s">
        <v>373</v>
      </c>
      <c r="C65" s="406" t="s">
        <v>874</v>
      </c>
      <c r="D65" s="406" t="s">
        <v>864</v>
      </c>
      <c r="E65" s="406" t="s">
        <v>862</v>
      </c>
      <c r="F65" s="407">
        <v>1691747.29</v>
      </c>
      <c r="G65" s="407">
        <f>G66</f>
        <v>0</v>
      </c>
      <c r="H65" s="407">
        <v>0</v>
      </c>
      <c r="I65" s="409"/>
    </row>
    <row r="66" spans="1:11" ht="31.5" hidden="1" x14ac:dyDescent="0.2">
      <c r="A66" s="404" t="s">
        <v>889</v>
      </c>
      <c r="B66" s="405" t="s">
        <v>373</v>
      </c>
      <c r="C66" s="406" t="s">
        <v>874</v>
      </c>
      <c r="D66" s="406" t="s">
        <v>864</v>
      </c>
      <c r="E66" s="406" t="s">
        <v>862</v>
      </c>
      <c r="F66" s="407">
        <v>1691747.29</v>
      </c>
      <c r="G66" s="407">
        <f>G67</f>
        <v>0</v>
      </c>
      <c r="H66" s="407">
        <v>0</v>
      </c>
      <c r="I66" s="409"/>
    </row>
    <row r="67" spans="1:11" ht="30" hidden="1" x14ac:dyDescent="0.2">
      <c r="A67" s="430" t="s">
        <v>911</v>
      </c>
      <c r="B67" s="415" t="s">
        <v>373</v>
      </c>
      <c r="C67" s="411" t="s">
        <v>874</v>
      </c>
      <c r="D67" s="411" t="s">
        <v>864</v>
      </c>
      <c r="E67" s="411" t="s">
        <v>912</v>
      </c>
      <c r="F67" s="412">
        <v>1691747.29</v>
      </c>
      <c r="G67" s="416"/>
      <c r="H67" s="412">
        <v>0</v>
      </c>
      <c r="I67" s="409"/>
    </row>
    <row r="68" spans="1:11" hidden="1" x14ac:dyDescent="0.2">
      <c r="A68" s="430"/>
      <c r="B68" s="415"/>
      <c r="C68" s="411"/>
      <c r="D68" s="411"/>
      <c r="E68" s="411"/>
      <c r="F68" s="416"/>
      <c r="G68" s="416"/>
      <c r="H68" s="416"/>
      <c r="I68" s="409"/>
    </row>
    <row r="69" spans="1:11" s="437" customFormat="1" ht="15.75" x14ac:dyDescent="0.25">
      <c r="A69" s="434" t="s">
        <v>436</v>
      </c>
      <c r="B69" s="405" t="s">
        <v>373</v>
      </c>
      <c r="C69" s="406" t="s">
        <v>874</v>
      </c>
      <c r="D69" s="406" t="s">
        <v>913</v>
      </c>
      <c r="E69" s="406" t="s">
        <v>862</v>
      </c>
      <c r="F69" s="407">
        <v>227967079.34999999</v>
      </c>
      <c r="G69" s="407">
        <f>G70+G79</f>
        <v>17827964.02</v>
      </c>
      <c r="H69" s="407">
        <f>H79</f>
        <v>104796.23999999999</v>
      </c>
      <c r="I69" s="442"/>
      <c r="J69" s="436"/>
      <c r="K69" s="436"/>
    </row>
    <row r="70" spans="1:11" ht="63" hidden="1" x14ac:dyDescent="0.2">
      <c r="A70" s="432" t="s">
        <v>914</v>
      </c>
      <c r="B70" s="443">
        <v>800</v>
      </c>
      <c r="C70" s="406" t="s">
        <v>874</v>
      </c>
      <c r="D70" s="406" t="s">
        <v>913</v>
      </c>
      <c r="E70" s="406" t="s">
        <v>862</v>
      </c>
      <c r="F70" s="407">
        <v>227246299.34999999</v>
      </c>
      <c r="G70" s="416">
        <f>10000000-278000+G71</f>
        <v>11368023.859999999</v>
      </c>
      <c r="H70" s="407">
        <v>0</v>
      </c>
      <c r="I70" s="409"/>
    </row>
    <row r="71" spans="1:11" ht="31.5" hidden="1" x14ac:dyDescent="0.2">
      <c r="A71" s="404" t="s">
        <v>915</v>
      </c>
      <c r="B71" s="443">
        <v>800</v>
      </c>
      <c r="C71" s="406" t="s">
        <v>874</v>
      </c>
      <c r="D71" s="406" t="s">
        <v>913</v>
      </c>
      <c r="E71" s="406" t="s">
        <v>916</v>
      </c>
      <c r="F71" s="407">
        <v>16200132.91</v>
      </c>
      <c r="G71" s="407">
        <f>SUM(G72:G78)</f>
        <v>1646023.86</v>
      </c>
      <c r="H71" s="407">
        <v>0</v>
      </c>
      <c r="I71" s="409"/>
    </row>
    <row r="72" spans="1:11" ht="60" hidden="1" x14ac:dyDescent="0.2">
      <c r="A72" s="441" t="s">
        <v>917</v>
      </c>
      <c r="B72" s="444">
        <v>800</v>
      </c>
      <c r="C72" s="411" t="s">
        <v>874</v>
      </c>
      <c r="D72" s="411" t="s">
        <v>913</v>
      </c>
      <c r="E72" s="444">
        <v>2510063250</v>
      </c>
      <c r="F72" s="412">
        <v>5310390.91</v>
      </c>
      <c r="G72" s="416"/>
      <c r="H72" s="412">
        <v>0</v>
      </c>
      <c r="I72" s="409"/>
    </row>
    <row r="73" spans="1:11" ht="30" hidden="1" x14ac:dyDescent="0.2">
      <c r="A73" s="441" t="s">
        <v>918</v>
      </c>
      <c r="B73" s="444">
        <v>800</v>
      </c>
      <c r="C73" s="411" t="s">
        <v>874</v>
      </c>
      <c r="D73" s="411" t="s">
        <v>913</v>
      </c>
      <c r="E73" s="444" t="s">
        <v>919</v>
      </c>
      <c r="F73" s="412"/>
      <c r="G73" s="416"/>
      <c r="H73" s="412">
        <v>0</v>
      </c>
      <c r="I73" s="409"/>
    </row>
    <row r="74" spans="1:11" ht="30" hidden="1" x14ac:dyDescent="0.2">
      <c r="A74" s="441" t="s">
        <v>920</v>
      </c>
      <c r="B74" s="444">
        <v>800</v>
      </c>
      <c r="C74" s="411" t="s">
        <v>874</v>
      </c>
      <c r="D74" s="411" t="s">
        <v>913</v>
      </c>
      <c r="E74" s="444" t="s">
        <v>921</v>
      </c>
      <c r="F74" s="412">
        <v>10800000</v>
      </c>
      <c r="G74" s="416"/>
      <c r="H74" s="412">
        <v>0</v>
      </c>
      <c r="I74" s="409"/>
    </row>
    <row r="75" spans="1:11" ht="30" hidden="1" x14ac:dyDescent="0.2">
      <c r="A75" s="441" t="s">
        <v>922</v>
      </c>
      <c r="B75" s="444">
        <v>800</v>
      </c>
      <c r="C75" s="411" t="s">
        <v>923</v>
      </c>
      <c r="D75" s="411" t="s">
        <v>913</v>
      </c>
      <c r="E75" s="444" t="s">
        <v>924</v>
      </c>
      <c r="F75" s="412">
        <v>27000</v>
      </c>
      <c r="G75" s="416"/>
      <c r="H75" s="412">
        <v>0</v>
      </c>
      <c r="I75" s="409"/>
    </row>
    <row r="76" spans="1:11" ht="30" hidden="1" x14ac:dyDescent="0.2">
      <c r="A76" s="445" t="s">
        <v>925</v>
      </c>
      <c r="B76" s="444">
        <v>800</v>
      </c>
      <c r="C76" s="411" t="s">
        <v>923</v>
      </c>
      <c r="D76" s="411" t="s">
        <v>913</v>
      </c>
      <c r="E76" s="411" t="s">
        <v>926</v>
      </c>
      <c r="F76" s="412">
        <v>41931</v>
      </c>
      <c r="G76" s="416"/>
      <c r="H76" s="412"/>
      <c r="I76" s="409"/>
    </row>
    <row r="77" spans="1:11" ht="30" hidden="1" x14ac:dyDescent="0.2">
      <c r="A77" s="445" t="s">
        <v>927</v>
      </c>
      <c r="B77" s="444">
        <v>800</v>
      </c>
      <c r="C77" s="411" t="s">
        <v>923</v>
      </c>
      <c r="D77" s="411" t="s">
        <v>913</v>
      </c>
      <c r="E77" s="411" t="s">
        <v>928</v>
      </c>
      <c r="F77" s="412">
        <v>20811</v>
      </c>
      <c r="G77" s="416"/>
      <c r="H77" s="412"/>
      <c r="I77" s="409"/>
    </row>
    <row r="78" spans="1:11" ht="45" hidden="1" x14ac:dyDescent="0.2">
      <c r="A78" s="445" t="s">
        <v>929</v>
      </c>
      <c r="B78" s="444">
        <v>800</v>
      </c>
      <c r="C78" s="411" t="s">
        <v>923</v>
      </c>
      <c r="D78" s="411" t="s">
        <v>913</v>
      </c>
      <c r="E78" s="411" t="s">
        <v>930</v>
      </c>
      <c r="F78" s="412"/>
      <c r="G78" s="416">
        <v>1646023.86</v>
      </c>
      <c r="H78" s="412"/>
      <c r="I78" s="409"/>
    </row>
    <row r="79" spans="1:11" ht="15.75" x14ac:dyDescent="0.2">
      <c r="A79" s="432" t="s">
        <v>371</v>
      </c>
      <c r="B79" s="405" t="s">
        <v>373</v>
      </c>
      <c r="C79" s="406" t="s">
        <v>874</v>
      </c>
      <c r="D79" s="406" t="s">
        <v>913</v>
      </c>
      <c r="E79" s="406" t="s">
        <v>862</v>
      </c>
      <c r="F79" s="407">
        <v>720780</v>
      </c>
      <c r="G79" s="407">
        <f>G80</f>
        <v>6459940.1600000001</v>
      </c>
      <c r="H79" s="407">
        <f>H80</f>
        <v>104796.23999999999</v>
      </c>
      <c r="I79" s="409"/>
    </row>
    <row r="80" spans="1:11" ht="48.75" customHeight="1" x14ac:dyDescent="0.2">
      <c r="A80" s="446" t="s">
        <v>931</v>
      </c>
      <c r="B80" s="415" t="s">
        <v>289</v>
      </c>
      <c r="C80" s="411" t="s">
        <v>874</v>
      </c>
      <c r="D80" s="411" t="s">
        <v>913</v>
      </c>
      <c r="E80" s="411" t="s">
        <v>439</v>
      </c>
      <c r="F80" s="412">
        <v>720780</v>
      </c>
      <c r="G80" s="416">
        <v>6459940.1600000001</v>
      </c>
      <c r="H80" s="412">
        <f>130995.26-26199.02</f>
        <v>104796.23999999999</v>
      </c>
      <c r="I80" s="409"/>
    </row>
    <row r="81" spans="1:11" ht="30.75" customHeight="1" x14ac:dyDescent="0.2">
      <c r="A81" s="433" t="s">
        <v>441</v>
      </c>
      <c r="B81" s="405" t="s">
        <v>289</v>
      </c>
      <c r="C81" s="406" t="s">
        <v>874</v>
      </c>
      <c r="D81" s="406" t="s">
        <v>932</v>
      </c>
      <c r="E81" s="406" t="s">
        <v>862</v>
      </c>
      <c r="F81" s="407">
        <v>6184718</v>
      </c>
      <c r="G81" s="407">
        <f>G82+G84</f>
        <v>0</v>
      </c>
      <c r="H81" s="408">
        <v>5489026.5199999996</v>
      </c>
      <c r="I81" s="409"/>
    </row>
    <row r="82" spans="1:11" ht="30" x14ac:dyDescent="0.2">
      <c r="A82" s="430" t="s">
        <v>933</v>
      </c>
      <c r="B82" s="415" t="s">
        <v>289</v>
      </c>
      <c r="C82" s="411" t="s">
        <v>874</v>
      </c>
      <c r="D82" s="411" t="s">
        <v>932</v>
      </c>
      <c r="E82" s="411" t="s">
        <v>934</v>
      </c>
      <c r="F82" s="412">
        <v>6184718</v>
      </c>
      <c r="G82" s="416"/>
      <c r="H82" s="412">
        <v>665026.52</v>
      </c>
      <c r="I82" s="409"/>
    </row>
    <row r="83" spans="1:11" ht="13.5" customHeight="1" x14ac:dyDescent="0.2">
      <c r="A83" s="430" t="s">
        <v>935</v>
      </c>
      <c r="B83" s="415" t="s">
        <v>289</v>
      </c>
      <c r="C83" s="411" t="s">
        <v>874</v>
      </c>
      <c r="D83" s="411" t="s">
        <v>932</v>
      </c>
      <c r="E83" s="411" t="s">
        <v>934</v>
      </c>
      <c r="F83" s="412">
        <v>6184718</v>
      </c>
      <c r="G83" s="416"/>
      <c r="H83" s="412">
        <v>4824000</v>
      </c>
      <c r="I83" s="409"/>
    </row>
    <row r="84" spans="1:11" hidden="1" x14ac:dyDescent="0.2">
      <c r="A84" s="438"/>
      <c r="B84" s="415"/>
      <c r="C84" s="411"/>
      <c r="D84" s="411"/>
      <c r="E84" s="411"/>
      <c r="F84" s="416"/>
      <c r="G84" s="416"/>
      <c r="H84" s="416"/>
      <c r="I84" s="409"/>
    </row>
    <row r="85" spans="1:11" s="437" customFormat="1" ht="23.25" customHeight="1" x14ac:dyDescent="0.25">
      <c r="A85" s="434" t="s">
        <v>936</v>
      </c>
      <c r="B85" s="405" t="s">
        <v>289</v>
      </c>
      <c r="C85" s="406" t="s">
        <v>874</v>
      </c>
      <c r="D85" s="406" t="s">
        <v>897</v>
      </c>
      <c r="E85" s="406" t="s">
        <v>862</v>
      </c>
      <c r="F85" s="407">
        <v>115177090.79000001</v>
      </c>
      <c r="G85" s="407">
        <f>G87</f>
        <v>3630972.61</v>
      </c>
      <c r="H85" s="408">
        <v>39087406.5</v>
      </c>
      <c r="I85" s="442"/>
      <c r="J85" s="436"/>
      <c r="K85" s="436"/>
    </row>
    <row r="86" spans="1:11" s="437" customFormat="1" ht="39" customHeight="1" x14ac:dyDescent="0.25">
      <c r="A86" s="446" t="s">
        <v>683</v>
      </c>
      <c r="B86" s="405"/>
      <c r="C86" s="406"/>
      <c r="D86" s="406"/>
      <c r="E86" s="406"/>
      <c r="F86" s="407"/>
      <c r="G86" s="407"/>
      <c r="H86" s="412">
        <v>140000</v>
      </c>
      <c r="I86" s="442"/>
      <c r="J86" s="436"/>
      <c r="K86" s="436"/>
    </row>
    <row r="87" spans="1:11" ht="45.75" customHeight="1" x14ac:dyDescent="0.2">
      <c r="A87" s="438" t="s">
        <v>937</v>
      </c>
      <c r="B87" s="415" t="s">
        <v>289</v>
      </c>
      <c r="C87" s="411" t="s">
        <v>874</v>
      </c>
      <c r="D87" s="411" t="s">
        <v>897</v>
      </c>
      <c r="E87" s="411" t="s">
        <v>938</v>
      </c>
      <c r="F87" s="412">
        <v>115177090.79000001</v>
      </c>
      <c r="G87" s="416">
        <f>G92+G89+149000.66</f>
        <v>3630972.61</v>
      </c>
      <c r="H87" s="412">
        <v>35029400</v>
      </c>
      <c r="I87" s="409"/>
    </row>
    <row r="88" spans="1:11" ht="33" customHeight="1" x14ac:dyDescent="0.2">
      <c r="A88" s="87" t="s">
        <v>421</v>
      </c>
      <c r="B88" s="415"/>
      <c r="C88" s="411"/>
      <c r="D88" s="411"/>
      <c r="E88" s="411"/>
      <c r="F88" s="412"/>
      <c r="G88" s="416"/>
      <c r="H88" s="412">
        <v>5786.5</v>
      </c>
      <c r="I88" s="409"/>
    </row>
    <row r="89" spans="1:11" ht="57.75" customHeight="1" x14ac:dyDescent="0.2">
      <c r="A89" s="446" t="s">
        <v>454</v>
      </c>
      <c r="B89" s="415" t="s">
        <v>289</v>
      </c>
      <c r="C89" s="411" t="s">
        <v>874</v>
      </c>
      <c r="D89" s="411" t="s">
        <v>897</v>
      </c>
      <c r="E89" s="411" t="s">
        <v>939</v>
      </c>
      <c r="F89" s="412"/>
      <c r="G89" s="416">
        <v>3630972.61</v>
      </c>
      <c r="H89" s="412">
        <v>412220</v>
      </c>
      <c r="I89" s="409"/>
    </row>
    <row r="90" spans="1:11" ht="38.25" customHeight="1" x14ac:dyDescent="0.2">
      <c r="A90" s="446" t="s">
        <v>940</v>
      </c>
      <c r="B90" s="415" t="s">
        <v>289</v>
      </c>
      <c r="C90" s="411" t="s">
        <v>874</v>
      </c>
      <c r="D90" s="411" t="s">
        <v>897</v>
      </c>
      <c r="E90" s="411" t="s">
        <v>939</v>
      </c>
      <c r="F90" s="412"/>
      <c r="G90" s="416">
        <v>3630972.61</v>
      </c>
      <c r="H90" s="412">
        <v>3500000</v>
      </c>
    </row>
    <row r="91" spans="1:11" ht="38.25" hidden="1" customHeight="1" x14ac:dyDescent="0.2">
      <c r="A91" s="447" t="s">
        <v>726</v>
      </c>
      <c r="B91" s="415" t="s">
        <v>289</v>
      </c>
      <c r="C91" s="411" t="s">
        <v>874</v>
      </c>
      <c r="D91" s="411" t="s">
        <v>897</v>
      </c>
      <c r="E91" s="411" t="s">
        <v>939</v>
      </c>
      <c r="F91" s="412"/>
      <c r="G91" s="416"/>
      <c r="H91" s="412">
        <v>0</v>
      </c>
      <c r="I91" s="409"/>
    </row>
    <row r="92" spans="1:11" ht="30" hidden="1" x14ac:dyDescent="0.2">
      <c r="A92" s="439" t="s">
        <v>462</v>
      </c>
      <c r="B92" s="440" t="s">
        <v>289</v>
      </c>
      <c r="C92" s="423" t="s">
        <v>874</v>
      </c>
      <c r="D92" s="423" t="s">
        <v>897</v>
      </c>
      <c r="E92" s="423" t="s">
        <v>941</v>
      </c>
      <c r="F92" s="429">
        <v>33408662.98</v>
      </c>
      <c r="G92" s="431">
        <v>-149000.66</v>
      </c>
      <c r="H92" s="429">
        <v>0</v>
      </c>
      <c r="I92" s="409"/>
    </row>
    <row r="93" spans="1:11" ht="29.25" customHeight="1" x14ac:dyDescent="0.2">
      <c r="A93" s="432" t="s">
        <v>942</v>
      </c>
      <c r="B93" s="405" t="s">
        <v>289</v>
      </c>
      <c r="C93" s="406" t="s">
        <v>874</v>
      </c>
      <c r="D93" s="406" t="s">
        <v>943</v>
      </c>
      <c r="E93" s="406" t="s">
        <v>862</v>
      </c>
      <c r="F93" s="407">
        <v>20589145</v>
      </c>
      <c r="G93" s="407" t="e">
        <f>G94+#REF!</f>
        <v>#REF!</v>
      </c>
      <c r="H93" s="448">
        <v>2856476.4</v>
      </c>
      <c r="I93" s="409"/>
    </row>
    <row r="94" spans="1:11" ht="29.25" customHeight="1" x14ac:dyDescent="0.2">
      <c r="A94" s="432" t="s">
        <v>371</v>
      </c>
      <c r="B94" s="405" t="s">
        <v>289</v>
      </c>
      <c r="C94" s="406" t="s">
        <v>874</v>
      </c>
      <c r="D94" s="406" t="s">
        <v>943</v>
      </c>
      <c r="E94" s="406" t="s">
        <v>944</v>
      </c>
      <c r="F94" s="407">
        <v>20589145</v>
      </c>
      <c r="G94" s="407" t="e">
        <f>G95+G96+#REF!+#REF!</f>
        <v>#REF!</v>
      </c>
      <c r="H94" s="407">
        <f>H96+H97</f>
        <v>1048875.21</v>
      </c>
      <c r="I94" s="409"/>
    </row>
    <row r="95" spans="1:11" ht="29.25" hidden="1" customHeight="1" x14ac:dyDescent="0.2">
      <c r="A95" s="449" t="s">
        <v>945</v>
      </c>
      <c r="B95" s="411" t="s">
        <v>373</v>
      </c>
      <c r="C95" s="411" t="s">
        <v>874</v>
      </c>
      <c r="D95" s="411" t="s">
        <v>943</v>
      </c>
      <c r="E95" s="411" t="s">
        <v>946</v>
      </c>
      <c r="F95" s="412"/>
      <c r="G95" s="412"/>
      <c r="H95" s="412"/>
    </row>
    <row r="96" spans="1:11" ht="39.75" customHeight="1" x14ac:dyDescent="0.2">
      <c r="A96" s="449" t="s">
        <v>947</v>
      </c>
      <c r="B96" s="415" t="s">
        <v>289</v>
      </c>
      <c r="C96" s="411" t="s">
        <v>874</v>
      </c>
      <c r="D96" s="411" t="s">
        <v>943</v>
      </c>
      <c r="E96" s="411" t="s">
        <v>358</v>
      </c>
      <c r="F96" s="412">
        <v>15758457.459999999</v>
      </c>
      <c r="G96" s="416">
        <f>10000000</f>
        <v>10000000</v>
      </c>
      <c r="H96" s="412">
        <f>1018875.21</f>
        <v>1018875.21</v>
      </c>
    </row>
    <row r="97" spans="1:11" ht="33" customHeight="1" x14ac:dyDescent="0.2">
      <c r="A97" s="410" t="s">
        <v>948</v>
      </c>
      <c r="B97" s="415" t="s">
        <v>289</v>
      </c>
      <c r="C97" s="411" t="s">
        <v>874</v>
      </c>
      <c r="D97" s="411" t="s">
        <v>943</v>
      </c>
      <c r="E97" s="411" t="s">
        <v>358</v>
      </c>
      <c r="F97" s="416"/>
      <c r="G97" s="416"/>
      <c r="H97" s="90">
        <v>30000</v>
      </c>
    </row>
    <row r="98" spans="1:11" ht="33" customHeight="1" x14ac:dyDescent="0.2">
      <c r="A98" s="91" t="s">
        <v>471</v>
      </c>
      <c r="B98" s="415"/>
      <c r="C98" s="411"/>
      <c r="D98" s="411"/>
      <c r="E98" s="411"/>
      <c r="F98" s="416"/>
      <c r="G98" s="416"/>
      <c r="H98" s="90">
        <v>1807601.19</v>
      </c>
    </row>
    <row r="99" spans="1:11" ht="32.25" customHeight="1" x14ac:dyDescent="0.2">
      <c r="A99" s="434" t="s">
        <v>949</v>
      </c>
      <c r="B99" s="405" t="s">
        <v>289</v>
      </c>
      <c r="C99" s="406" t="s">
        <v>913</v>
      </c>
      <c r="D99" s="406" t="s">
        <v>707</v>
      </c>
      <c r="E99" s="406" t="s">
        <v>862</v>
      </c>
      <c r="F99" s="407">
        <v>184765604.41000003</v>
      </c>
      <c r="G99" s="407" t="e">
        <f>G100+G105+#REF!</f>
        <v>#REF!</v>
      </c>
      <c r="H99" s="408">
        <f>H100+H105+H123</f>
        <v>20830633.359999999</v>
      </c>
    </row>
    <row r="100" spans="1:11" ht="24.75" customHeight="1" x14ac:dyDescent="0.2">
      <c r="A100" s="434" t="s">
        <v>475</v>
      </c>
      <c r="B100" s="405" t="s">
        <v>289</v>
      </c>
      <c r="C100" s="406" t="s">
        <v>913</v>
      </c>
      <c r="D100" s="406" t="s">
        <v>864</v>
      </c>
      <c r="E100" s="406" t="s">
        <v>862</v>
      </c>
      <c r="F100" s="407">
        <v>125974622.50000001</v>
      </c>
      <c r="G100" s="407" t="e">
        <f>G101+#REF!</f>
        <v>#REF!</v>
      </c>
      <c r="H100" s="407">
        <f>H101+H103</f>
        <v>7208708.7999999998</v>
      </c>
    </row>
    <row r="101" spans="1:11" s="437" customFormat="1" ht="15.75" x14ac:dyDescent="0.25">
      <c r="A101" s="450" t="s">
        <v>371</v>
      </c>
      <c r="B101" s="405" t="s">
        <v>289</v>
      </c>
      <c r="C101" s="406" t="s">
        <v>913</v>
      </c>
      <c r="D101" s="406" t="s">
        <v>864</v>
      </c>
      <c r="E101" s="406" t="s">
        <v>862</v>
      </c>
      <c r="F101" s="407">
        <v>87245622.500000015</v>
      </c>
      <c r="G101" s="407" t="e">
        <f>G102+G104</f>
        <v>#REF!</v>
      </c>
      <c r="H101" s="407">
        <f>H102</f>
        <v>1690000</v>
      </c>
      <c r="I101" s="435"/>
      <c r="J101" s="436"/>
      <c r="K101" s="436"/>
    </row>
    <row r="102" spans="1:11" ht="45" x14ac:dyDescent="0.2">
      <c r="A102" s="451" t="s">
        <v>477</v>
      </c>
      <c r="B102" s="415" t="s">
        <v>289</v>
      </c>
      <c r="C102" s="411" t="s">
        <v>913</v>
      </c>
      <c r="D102" s="411" t="s">
        <v>864</v>
      </c>
      <c r="E102" s="452" t="s">
        <v>358</v>
      </c>
      <c r="F102" s="412">
        <v>80900000.000000015</v>
      </c>
      <c r="G102" s="412" t="e">
        <f>#REF!+300000+300000</f>
        <v>#REF!</v>
      </c>
      <c r="H102" s="412">
        <v>1690000</v>
      </c>
    </row>
    <row r="103" spans="1:11" ht="15.75" x14ac:dyDescent="0.2">
      <c r="A103" s="450" t="s">
        <v>639</v>
      </c>
      <c r="B103" s="405" t="s">
        <v>289</v>
      </c>
      <c r="C103" s="406" t="s">
        <v>913</v>
      </c>
      <c r="D103" s="406" t="s">
        <v>864</v>
      </c>
      <c r="E103" s="406" t="s">
        <v>950</v>
      </c>
      <c r="F103" s="412"/>
      <c r="G103" s="412"/>
      <c r="H103" s="407">
        <f>H104</f>
        <v>5518708.7999999998</v>
      </c>
    </row>
    <row r="104" spans="1:11" ht="37.5" customHeight="1" x14ac:dyDescent="0.2">
      <c r="A104" s="430" t="s">
        <v>951</v>
      </c>
      <c r="B104" s="453" t="s">
        <v>373</v>
      </c>
      <c r="C104" s="411" t="s">
        <v>913</v>
      </c>
      <c r="D104" s="411" t="s">
        <v>864</v>
      </c>
      <c r="E104" s="411" t="s">
        <v>952</v>
      </c>
      <c r="F104" s="412">
        <v>6345622.5</v>
      </c>
      <c r="G104" s="412" t="e">
        <f>#REF!</f>
        <v>#REF!</v>
      </c>
      <c r="H104" s="412">
        <v>5518708.7999999998</v>
      </c>
    </row>
    <row r="105" spans="1:11" s="437" customFormat="1" ht="26.25" customHeight="1" x14ac:dyDescent="0.25">
      <c r="A105" s="454" t="s">
        <v>953</v>
      </c>
      <c r="B105" s="405" t="s">
        <v>289</v>
      </c>
      <c r="C105" s="406" t="s">
        <v>913</v>
      </c>
      <c r="D105" s="406" t="s">
        <v>720</v>
      </c>
      <c r="E105" s="406" t="s">
        <v>862</v>
      </c>
      <c r="F105" s="407">
        <v>2474557</v>
      </c>
      <c r="G105" s="407">
        <f>G106</f>
        <v>-357564.51</v>
      </c>
      <c r="H105" s="407">
        <v>6532637.4000000004</v>
      </c>
      <c r="I105" s="435"/>
      <c r="J105" s="436"/>
      <c r="K105" s="436"/>
    </row>
    <row r="106" spans="1:11" s="437" customFormat="1" ht="15.75" x14ac:dyDescent="0.25">
      <c r="A106" s="450" t="s">
        <v>639</v>
      </c>
      <c r="B106" s="405" t="s">
        <v>289</v>
      </c>
      <c r="C106" s="406" t="s">
        <v>913</v>
      </c>
      <c r="D106" s="406" t="s">
        <v>720</v>
      </c>
      <c r="E106" s="406" t="s">
        <v>862</v>
      </c>
      <c r="F106" s="407">
        <v>2474557</v>
      </c>
      <c r="G106" s="407">
        <f>G112</f>
        <v>-357564.51</v>
      </c>
      <c r="H106" s="407">
        <v>3973756.6</v>
      </c>
      <c r="I106" s="435"/>
      <c r="J106" s="436"/>
      <c r="K106" s="436"/>
    </row>
    <row r="107" spans="1:11" s="437" customFormat="1" ht="30" x14ac:dyDescent="0.25">
      <c r="A107" s="455" t="s">
        <v>484</v>
      </c>
      <c r="B107" s="405" t="s">
        <v>289</v>
      </c>
      <c r="C107" s="406" t="s">
        <v>913</v>
      </c>
      <c r="D107" s="406" t="s">
        <v>720</v>
      </c>
      <c r="E107" s="406" t="s">
        <v>954</v>
      </c>
      <c r="F107" s="407"/>
      <c r="G107" s="407"/>
      <c r="H107" s="407"/>
      <c r="I107" s="435"/>
      <c r="J107" s="436"/>
      <c r="K107" s="436"/>
    </row>
    <row r="108" spans="1:11" x14ac:dyDescent="0.2">
      <c r="A108" s="439" t="s">
        <v>955</v>
      </c>
      <c r="B108" s="440" t="s">
        <v>289</v>
      </c>
      <c r="C108" s="423" t="s">
        <v>913</v>
      </c>
      <c r="D108" s="423" t="s">
        <v>720</v>
      </c>
      <c r="E108" s="456" t="s">
        <v>956</v>
      </c>
      <c r="F108" s="429">
        <v>2474557</v>
      </c>
      <c r="G108" s="431">
        <v>-357564.51</v>
      </c>
      <c r="H108" s="429">
        <f>100000+300000</f>
        <v>400000</v>
      </c>
    </row>
    <row r="109" spans="1:11" x14ac:dyDescent="0.2">
      <c r="A109" s="439" t="s">
        <v>957</v>
      </c>
      <c r="B109" s="440" t="s">
        <v>289</v>
      </c>
      <c r="C109" s="423" t="s">
        <v>913</v>
      </c>
      <c r="D109" s="423" t="s">
        <v>720</v>
      </c>
      <c r="E109" s="456" t="s">
        <v>956</v>
      </c>
      <c r="F109" s="429">
        <v>2474557</v>
      </c>
      <c r="G109" s="431">
        <v>-357564.51</v>
      </c>
      <c r="H109" s="429">
        <v>40000</v>
      </c>
    </row>
    <row r="110" spans="1:11" ht="30" x14ac:dyDescent="0.2">
      <c r="A110" s="439" t="s">
        <v>494</v>
      </c>
      <c r="B110" s="440" t="s">
        <v>289</v>
      </c>
      <c r="C110" s="423" t="s">
        <v>913</v>
      </c>
      <c r="D110" s="423" t="s">
        <v>720</v>
      </c>
      <c r="E110" s="456" t="s">
        <v>956</v>
      </c>
      <c r="F110" s="429">
        <v>2474557</v>
      </c>
      <c r="G110" s="431">
        <v>-357564.51</v>
      </c>
      <c r="H110" s="429">
        <v>100000</v>
      </c>
    </row>
    <row r="111" spans="1:11" ht="30" x14ac:dyDescent="0.2">
      <c r="A111" s="439" t="s">
        <v>733</v>
      </c>
      <c r="B111" s="440" t="s">
        <v>289</v>
      </c>
      <c r="C111" s="423" t="s">
        <v>913</v>
      </c>
      <c r="D111" s="423" t="s">
        <v>720</v>
      </c>
      <c r="E111" s="456" t="s">
        <v>956</v>
      </c>
      <c r="F111" s="429">
        <v>2474557</v>
      </c>
      <c r="G111" s="431">
        <v>-357564.51</v>
      </c>
      <c r="H111" s="429">
        <v>2220833.14</v>
      </c>
    </row>
    <row r="112" spans="1:11" ht="20.25" customHeight="1" x14ac:dyDescent="0.2">
      <c r="A112" s="457" t="s">
        <v>958</v>
      </c>
      <c r="B112" s="440" t="s">
        <v>289</v>
      </c>
      <c r="C112" s="423" t="s">
        <v>913</v>
      </c>
      <c r="D112" s="423" t="s">
        <v>720</v>
      </c>
      <c r="E112" s="456" t="s">
        <v>956</v>
      </c>
      <c r="F112" s="429">
        <v>2474557</v>
      </c>
      <c r="G112" s="429">
        <f>G113</f>
        <v>-357564.51</v>
      </c>
      <c r="H112" s="429">
        <v>1300000</v>
      </c>
    </row>
    <row r="113" spans="1:11" ht="20.25" customHeight="1" x14ac:dyDescent="0.2">
      <c r="A113" s="439" t="s">
        <v>959</v>
      </c>
      <c r="B113" s="440" t="s">
        <v>289</v>
      </c>
      <c r="C113" s="423" t="s">
        <v>913</v>
      </c>
      <c r="D113" s="423" t="s">
        <v>720</v>
      </c>
      <c r="E113" s="456" t="s">
        <v>960</v>
      </c>
      <c r="F113" s="429">
        <v>2474557</v>
      </c>
      <c r="G113" s="431">
        <v>-357564.51</v>
      </c>
      <c r="H113" s="429">
        <v>642000</v>
      </c>
    </row>
    <row r="114" spans="1:11" ht="15.75" x14ac:dyDescent="0.2">
      <c r="A114" s="450" t="s">
        <v>371</v>
      </c>
      <c r="B114" s="405" t="s">
        <v>289</v>
      </c>
      <c r="C114" s="406" t="s">
        <v>913</v>
      </c>
      <c r="D114" s="406" t="s">
        <v>720</v>
      </c>
      <c r="E114" s="406" t="s">
        <v>862</v>
      </c>
      <c r="F114" s="429"/>
      <c r="G114" s="431"/>
      <c r="H114" s="407">
        <v>2558880.7999999998</v>
      </c>
    </row>
    <row r="115" spans="1:11" hidden="1" x14ac:dyDescent="0.2">
      <c r="A115" s="455" t="s">
        <v>961</v>
      </c>
      <c r="B115" s="440" t="s">
        <v>289</v>
      </c>
      <c r="C115" s="423" t="s">
        <v>913</v>
      </c>
      <c r="D115" s="423" t="s">
        <v>720</v>
      </c>
      <c r="E115" s="456" t="s">
        <v>489</v>
      </c>
      <c r="F115" s="429"/>
      <c r="G115" s="431"/>
      <c r="H115" s="429">
        <v>0</v>
      </c>
    </row>
    <row r="116" spans="1:11" hidden="1" x14ac:dyDescent="0.2">
      <c r="A116" s="455" t="s">
        <v>962</v>
      </c>
      <c r="B116" s="440" t="s">
        <v>289</v>
      </c>
      <c r="C116" s="423" t="s">
        <v>913</v>
      </c>
      <c r="D116" s="423" t="s">
        <v>720</v>
      </c>
      <c r="E116" s="456" t="s">
        <v>489</v>
      </c>
      <c r="F116" s="429"/>
      <c r="G116" s="431"/>
      <c r="H116" s="429">
        <v>0</v>
      </c>
    </row>
    <row r="117" spans="1:11" ht="60" x14ac:dyDescent="0.2">
      <c r="A117" s="455" t="s">
        <v>685</v>
      </c>
      <c r="B117" s="440" t="s">
        <v>289</v>
      </c>
      <c r="C117" s="423" t="s">
        <v>913</v>
      </c>
      <c r="D117" s="423" t="s">
        <v>720</v>
      </c>
      <c r="E117" s="456" t="s">
        <v>489</v>
      </c>
      <c r="F117" s="429"/>
      <c r="G117" s="431"/>
      <c r="H117" s="429">
        <v>265792.5</v>
      </c>
    </row>
    <row r="118" spans="1:11" ht="30" hidden="1" x14ac:dyDescent="0.2">
      <c r="A118" s="455" t="s">
        <v>501</v>
      </c>
      <c r="B118" s="440" t="s">
        <v>289</v>
      </c>
      <c r="C118" s="423" t="s">
        <v>913</v>
      </c>
      <c r="D118" s="423" t="s">
        <v>720</v>
      </c>
      <c r="E118" s="456" t="s">
        <v>489</v>
      </c>
      <c r="F118" s="429"/>
      <c r="G118" s="431"/>
      <c r="H118" s="429">
        <v>0</v>
      </c>
    </row>
    <row r="119" spans="1:11" ht="20.25" customHeight="1" x14ac:dyDescent="0.2">
      <c r="A119" s="455" t="s">
        <v>963</v>
      </c>
      <c r="B119" s="440" t="s">
        <v>289</v>
      </c>
      <c r="C119" s="423" t="s">
        <v>913</v>
      </c>
      <c r="D119" s="423" t="s">
        <v>720</v>
      </c>
      <c r="E119" s="456" t="s">
        <v>489</v>
      </c>
      <c r="F119" s="429"/>
      <c r="G119" s="431"/>
      <c r="H119" s="429">
        <v>21197.360000000001</v>
      </c>
    </row>
    <row r="120" spans="1:11" hidden="1" x14ac:dyDescent="0.2">
      <c r="A120" s="455" t="s">
        <v>964</v>
      </c>
      <c r="B120" s="440" t="s">
        <v>289</v>
      </c>
      <c r="C120" s="423" t="s">
        <v>913</v>
      </c>
      <c r="D120" s="423" t="s">
        <v>720</v>
      </c>
      <c r="E120" s="456" t="s">
        <v>358</v>
      </c>
      <c r="F120" s="429"/>
      <c r="G120" s="431"/>
      <c r="H120" s="429">
        <v>0</v>
      </c>
    </row>
    <row r="121" spans="1:11" s="414" customFormat="1" ht="14.25" hidden="1" customHeight="1" x14ac:dyDescent="0.2">
      <c r="A121" s="434"/>
      <c r="B121" s="415"/>
      <c r="C121" s="411"/>
      <c r="D121" s="411"/>
      <c r="E121" s="411"/>
      <c r="F121" s="416"/>
      <c r="G121" s="416"/>
      <c r="H121" s="416"/>
      <c r="I121" s="409"/>
      <c r="J121" s="413"/>
      <c r="K121" s="413"/>
    </row>
    <row r="122" spans="1:11" s="414" customFormat="1" ht="14.25" hidden="1" customHeight="1" x14ac:dyDescent="0.2">
      <c r="A122" s="434"/>
      <c r="B122" s="415"/>
      <c r="C122" s="411"/>
      <c r="D122" s="411"/>
      <c r="E122" s="411"/>
      <c r="F122" s="416"/>
      <c r="G122" s="416"/>
      <c r="H122" s="416"/>
      <c r="I122" s="409"/>
      <c r="J122" s="413"/>
      <c r="K122" s="413"/>
    </row>
    <row r="123" spans="1:11" s="414" customFormat="1" ht="14.25" customHeight="1" x14ac:dyDescent="0.2">
      <c r="A123" s="450" t="s">
        <v>965</v>
      </c>
      <c r="B123" s="458" t="s">
        <v>289</v>
      </c>
      <c r="C123" s="458" t="s">
        <v>707</v>
      </c>
      <c r="D123" s="458" t="s">
        <v>707</v>
      </c>
      <c r="E123" s="458" t="s">
        <v>862</v>
      </c>
      <c r="F123" s="459">
        <v>283649661.56</v>
      </c>
      <c r="G123" s="459" t="e">
        <f>#REF!+#REF!+#REF!+#REF!+#REF!</f>
        <v>#REF!</v>
      </c>
      <c r="H123" s="460">
        <f>H124</f>
        <v>7089287.1600000001</v>
      </c>
      <c r="I123" s="409"/>
      <c r="J123" s="413"/>
      <c r="K123" s="413"/>
    </row>
    <row r="124" spans="1:11" s="414" customFormat="1" ht="14.25" customHeight="1" x14ac:dyDescent="0.2">
      <c r="A124" s="450" t="s">
        <v>371</v>
      </c>
      <c r="B124" s="405" t="s">
        <v>289</v>
      </c>
      <c r="C124" s="406" t="s">
        <v>913</v>
      </c>
      <c r="D124" s="406" t="s">
        <v>913</v>
      </c>
      <c r="E124" s="406" t="s">
        <v>966</v>
      </c>
      <c r="F124" s="407">
        <v>56316424.909999996</v>
      </c>
      <c r="G124" s="407">
        <f>G125</f>
        <v>-163718.39000000001</v>
      </c>
      <c r="H124" s="407">
        <f>H125</f>
        <v>7089287.1600000001</v>
      </c>
      <c r="I124" s="409"/>
      <c r="J124" s="413"/>
      <c r="K124" s="413"/>
    </row>
    <row r="125" spans="1:11" s="414" customFormat="1" ht="36.75" customHeight="1" x14ac:dyDescent="0.2">
      <c r="A125" s="461" t="s">
        <v>967</v>
      </c>
      <c r="B125" s="415" t="s">
        <v>289</v>
      </c>
      <c r="C125" s="411" t="s">
        <v>913</v>
      </c>
      <c r="D125" s="411" t="s">
        <v>913</v>
      </c>
      <c r="E125" s="411" t="s">
        <v>968</v>
      </c>
      <c r="F125" s="412">
        <v>56316424.909999996</v>
      </c>
      <c r="G125" s="416">
        <v>-163718.39000000001</v>
      </c>
      <c r="H125" s="412">
        <f>7345365.16-256078</f>
        <v>7089287.1600000001</v>
      </c>
      <c r="I125" s="409"/>
      <c r="J125" s="413"/>
      <c r="K125" s="413"/>
    </row>
    <row r="126" spans="1:11" s="414" customFormat="1" ht="14.25" hidden="1" customHeight="1" x14ac:dyDescent="0.2">
      <c r="A126" s="434"/>
      <c r="B126" s="415"/>
      <c r="C126" s="411"/>
      <c r="D126" s="411"/>
      <c r="E126" s="411"/>
      <c r="F126" s="416"/>
      <c r="G126" s="416"/>
      <c r="H126" s="416"/>
      <c r="I126" s="409"/>
      <c r="J126" s="413"/>
      <c r="K126" s="413"/>
    </row>
    <row r="127" spans="1:11" s="414" customFormat="1" ht="14.25" hidden="1" customHeight="1" x14ac:dyDescent="0.2">
      <c r="A127" s="434"/>
      <c r="B127" s="415"/>
      <c r="C127" s="411"/>
      <c r="D127" s="411"/>
      <c r="E127" s="411"/>
      <c r="F127" s="416"/>
      <c r="G127" s="416"/>
      <c r="H127" s="416"/>
      <c r="I127" s="409"/>
      <c r="J127" s="413"/>
      <c r="K127" s="413"/>
    </row>
    <row r="128" spans="1:11" ht="21.75" customHeight="1" x14ac:dyDescent="0.2">
      <c r="A128" s="434" t="s">
        <v>521</v>
      </c>
      <c r="B128" s="405" t="s">
        <v>289</v>
      </c>
      <c r="C128" s="406" t="s">
        <v>969</v>
      </c>
      <c r="D128" s="406" t="s">
        <v>707</v>
      </c>
      <c r="E128" s="406" t="s">
        <v>862</v>
      </c>
      <c r="F128" s="407">
        <v>21616072.559999999</v>
      </c>
      <c r="G128" s="407">
        <f>G129</f>
        <v>2340265.39</v>
      </c>
      <c r="H128" s="408">
        <f>H129</f>
        <v>10393544.93</v>
      </c>
    </row>
    <row r="129" spans="1:11" ht="15.75" x14ac:dyDescent="0.2">
      <c r="A129" s="450" t="s">
        <v>371</v>
      </c>
      <c r="B129" s="415" t="s">
        <v>289</v>
      </c>
      <c r="C129" s="411" t="s">
        <v>969</v>
      </c>
      <c r="D129" s="411" t="s">
        <v>913</v>
      </c>
      <c r="E129" s="411" t="s">
        <v>862</v>
      </c>
      <c r="F129" s="412">
        <v>21616072.559999999</v>
      </c>
      <c r="G129" s="416">
        <f>G130+G131-300000</f>
        <v>2340265.39</v>
      </c>
      <c r="H129" s="412">
        <f>H130</f>
        <v>10393544.93</v>
      </c>
    </row>
    <row r="130" spans="1:11" ht="30" x14ac:dyDescent="0.2">
      <c r="A130" s="430" t="s">
        <v>970</v>
      </c>
      <c r="B130" s="440" t="s">
        <v>289</v>
      </c>
      <c r="C130" s="423" t="s">
        <v>969</v>
      </c>
      <c r="D130" s="423" t="s">
        <v>913</v>
      </c>
      <c r="E130" s="423" t="s">
        <v>524</v>
      </c>
      <c r="F130" s="429">
        <v>12024405.890000001</v>
      </c>
      <c r="G130" s="431">
        <v>-819695.61</v>
      </c>
      <c r="H130" s="429">
        <v>10393544.93</v>
      </c>
    </row>
    <row r="131" spans="1:11" ht="14.25" customHeight="1" x14ac:dyDescent="0.2">
      <c r="A131" s="422"/>
      <c r="B131" s="440"/>
      <c r="C131" s="423"/>
      <c r="D131" s="423"/>
      <c r="E131" s="423"/>
      <c r="F131" s="429">
        <v>7820000</v>
      </c>
      <c r="G131" s="431">
        <v>3459961</v>
      </c>
      <c r="H131" s="429">
        <v>0</v>
      </c>
    </row>
    <row r="132" spans="1:11" ht="14.25" customHeight="1" x14ac:dyDescent="0.2">
      <c r="A132" s="422"/>
      <c r="B132" s="440"/>
      <c r="C132" s="423"/>
      <c r="D132" s="423"/>
      <c r="E132" s="423"/>
      <c r="F132" s="429"/>
      <c r="G132" s="431"/>
      <c r="H132" s="429"/>
    </row>
    <row r="133" spans="1:11" ht="37.5" customHeight="1" x14ac:dyDescent="0.2">
      <c r="A133" s="450" t="s">
        <v>971</v>
      </c>
      <c r="B133" s="458" t="s">
        <v>289</v>
      </c>
      <c r="C133" s="458" t="s">
        <v>876</v>
      </c>
      <c r="D133" s="458" t="s">
        <v>707</v>
      </c>
      <c r="E133" s="458" t="s">
        <v>862</v>
      </c>
      <c r="F133" s="407">
        <v>362722464.96000004</v>
      </c>
      <c r="G133" s="407" t="e">
        <f>G137+G140+G134</f>
        <v>#REF!</v>
      </c>
      <c r="H133" s="408">
        <f>H140</f>
        <v>757140</v>
      </c>
    </row>
    <row r="134" spans="1:11" ht="15.75" hidden="1" x14ac:dyDescent="0.2">
      <c r="A134" s="433" t="s">
        <v>972</v>
      </c>
      <c r="B134" s="458" t="s">
        <v>373</v>
      </c>
      <c r="C134" s="458" t="s">
        <v>876</v>
      </c>
      <c r="D134" s="458" t="s">
        <v>867</v>
      </c>
      <c r="E134" s="458" t="s">
        <v>862</v>
      </c>
      <c r="F134" s="407">
        <v>256436722.22999999</v>
      </c>
      <c r="G134" s="407">
        <f>G135</f>
        <v>-1564367.2199999997</v>
      </c>
      <c r="H134" s="407">
        <v>0</v>
      </c>
    </row>
    <row r="135" spans="1:11" hidden="1" x14ac:dyDescent="0.2">
      <c r="A135" s="438" t="s">
        <v>973</v>
      </c>
      <c r="B135" s="453" t="s">
        <v>373</v>
      </c>
      <c r="C135" s="453" t="s">
        <v>974</v>
      </c>
      <c r="D135" s="453" t="s">
        <v>867</v>
      </c>
      <c r="E135" s="453" t="s">
        <v>862</v>
      </c>
      <c r="F135" s="412">
        <v>256436722.22999999</v>
      </c>
      <c r="G135" s="416">
        <f>G136</f>
        <v>-1564367.2199999997</v>
      </c>
      <c r="H135" s="412"/>
    </row>
    <row r="136" spans="1:11" s="465" customFormat="1" hidden="1" x14ac:dyDescent="0.2">
      <c r="A136" s="422" t="s">
        <v>975</v>
      </c>
      <c r="B136" s="462" t="s">
        <v>373</v>
      </c>
      <c r="C136" s="462" t="s">
        <v>876</v>
      </c>
      <c r="D136" s="462" t="s">
        <v>867</v>
      </c>
      <c r="E136" s="462" t="s">
        <v>862</v>
      </c>
      <c r="F136" s="429">
        <v>256436722.22999999</v>
      </c>
      <c r="G136" s="431">
        <f>-2538723.55-25643.67+1000000</f>
        <v>-1564367.2199999997</v>
      </c>
      <c r="H136" s="429"/>
      <c r="I136" s="463"/>
      <c r="J136" s="464"/>
      <c r="K136" s="464"/>
    </row>
    <row r="137" spans="1:11" s="437" customFormat="1" ht="15.75" hidden="1" x14ac:dyDescent="0.25">
      <c r="A137" s="433" t="s">
        <v>976</v>
      </c>
      <c r="B137" s="458" t="s">
        <v>373</v>
      </c>
      <c r="C137" s="458" t="s">
        <v>876</v>
      </c>
      <c r="D137" s="458" t="s">
        <v>720</v>
      </c>
      <c r="E137" s="458" t="s">
        <v>862</v>
      </c>
      <c r="F137" s="407">
        <v>100876052.73000002</v>
      </c>
      <c r="G137" s="407">
        <f>G138</f>
        <v>-20000000</v>
      </c>
      <c r="H137" s="407">
        <v>0</v>
      </c>
      <c r="I137" s="435"/>
      <c r="J137" s="436"/>
      <c r="K137" s="436"/>
    </row>
    <row r="138" spans="1:11" hidden="1" x14ac:dyDescent="0.2">
      <c r="A138" s="438" t="s">
        <v>977</v>
      </c>
      <c r="B138" s="453" t="s">
        <v>373</v>
      </c>
      <c r="C138" s="453" t="s">
        <v>876</v>
      </c>
      <c r="D138" s="453" t="s">
        <v>720</v>
      </c>
      <c r="E138" s="453" t="s">
        <v>862</v>
      </c>
      <c r="F138" s="412">
        <v>100876052.73000002</v>
      </c>
      <c r="G138" s="416">
        <f>G139</f>
        <v>-20000000</v>
      </c>
      <c r="H138" s="412">
        <v>0</v>
      </c>
    </row>
    <row r="139" spans="1:11" s="465" customFormat="1" hidden="1" x14ac:dyDescent="0.2">
      <c r="A139" s="422" t="s">
        <v>975</v>
      </c>
      <c r="B139" s="462" t="s">
        <v>373</v>
      </c>
      <c r="C139" s="462" t="s">
        <v>876</v>
      </c>
      <c r="D139" s="462" t="s">
        <v>720</v>
      </c>
      <c r="E139" s="423" t="s">
        <v>978</v>
      </c>
      <c r="F139" s="429">
        <v>100876052.73000002</v>
      </c>
      <c r="G139" s="431">
        <f>-20500000+500000</f>
        <v>-20000000</v>
      </c>
      <c r="H139" s="429">
        <v>0</v>
      </c>
      <c r="I139" s="463"/>
      <c r="J139" s="464"/>
      <c r="K139" s="464"/>
    </row>
    <row r="140" spans="1:11" ht="25.5" customHeight="1" x14ac:dyDescent="0.2">
      <c r="A140" s="404" t="s">
        <v>639</v>
      </c>
      <c r="B140" s="458" t="s">
        <v>289</v>
      </c>
      <c r="C140" s="458" t="s">
        <v>876</v>
      </c>
      <c r="D140" s="458" t="s">
        <v>876</v>
      </c>
      <c r="E140" s="458" t="s">
        <v>979</v>
      </c>
      <c r="F140" s="459">
        <v>5409690</v>
      </c>
      <c r="G140" s="459" t="e">
        <f>G141</f>
        <v>#REF!</v>
      </c>
      <c r="H140" s="459">
        <f>SUM(H141:H142)</f>
        <v>757140</v>
      </c>
    </row>
    <row r="141" spans="1:11" ht="39" customHeight="1" x14ac:dyDescent="0.2">
      <c r="A141" s="449" t="s">
        <v>528</v>
      </c>
      <c r="B141" s="453" t="s">
        <v>289</v>
      </c>
      <c r="C141" s="453" t="s">
        <v>876</v>
      </c>
      <c r="D141" s="453" t="s">
        <v>876</v>
      </c>
      <c r="E141" s="411" t="s">
        <v>530</v>
      </c>
      <c r="F141" s="412">
        <v>5409690</v>
      </c>
      <c r="G141" s="416" t="e">
        <f>#REF!-62360</f>
        <v>#REF!</v>
      </c>
      <c r="H141" s="412">
        <v>42500</v>
      </c>
    </row>
    <row r="142" spans="1:11" ht="21" customHeight="1" x14ac:dyDescent="0.2">
      <c r="A142" s="410" t="s">
        <v>686</v>
      </c>
      <c r="B142" s="415" t="s">
        <v>289</v>
      </c>
      <c r="C142" s="411" t="s">
        <v>876</v>
      </c>
      <c r="D142" s="411" t="s">
        <v>876</v>
      </c>
      <c r="E142" s="411" t="s">
        <v>530</v>
      </c>
      <c r="F142" s="416"/>
      <c r="G142" s="416"/>
      <c r="H142" s="416">
        <v>714640</v>
      </c>
    </row>
    <row r="143" spans="1:11" ht="20.25" x14ac:dyDescent="0.2">
      <c r="A143" s="404" t="s">
        <v>980</v>
      </c>
      <c r="B143" s="405" t="s">
        <v>289</v>
      </c>
      <c r="C143" s="406" t="s">
        <v>932</v>
      </c>
      <c r="D143" s="406" t="s">
        <v>707</v>
      </c>
      <c r="E143" s="406" t="s">
        <v>862</v>
      </c>
      <c r="F143" s="407">
        <v>162900708.69999999</v>
      </c>
      <c r="G143" s="407">
        <f>G146+G156+G157+G162</f>
        <v>84891.47</v>
      </c>
      <c r="H143" s="408">
        <f>H144</f>
        <v>40970001.140000001</v>
      </c>
    </row>
    <row r="144" spans="1:11" ht="15.75" x14ac:dyDescent="0.2">
      <c r="A144" s="404" t="s">
        <v>981</v>
      </c>
      <c r="B144" s="405" t="s">
        <v>289</v>
      </c>
      <c r="C144" s="406" t="s">
        <v>932</v>
      </c>
      <c r="D144" s="406" t="s">
        <v>864</v>
      </c>
      <c r="E144" s="406" t="s">
        <v>862</v>
      </c>
      <c r="F144" s="407"/>
      <c r="G144" s="407"/>
      <c r="H144" s="407">
        <f>H145+H151</f>
        <v>40970001.140000001</v>
      </c>
    </row>
    <row r="145" spans="1:8" ht="15.75" x14ac:dyDescent="0.2">
      <c r="A145" s="404" t="s">
        <v>639</v>
      </c>
      <c r="B145" s="405" t="s">
        <v>289</v>
      </c>
      <c r="C145" s="406" t="s">
        <v>932</v>
      </c>
      <c r="D145" s="406" t="s">
        <v>864</v>
      </c>
      <c r="E145" s="406" t="s">
        <v>862</v>
      </c>
      <c r="F145" s="407"/>
      <c r="G145" s="407"/>
      <c r="H145" s="407">
        <f>H146</f>
        <v>38986340.939999998</v>
      </c>
    </row>
    <row r="146" spans="1:8" ht="30" x14ac:dyDescent="0.2">
      <c r="A146" s="438" t="s">
        <v>982</v>
      </c>
      <c r="B146" s="411" t="s">
        <v>289</v>
      </c>
      <c r="C146" s="411" t="s">
        <v>932</v>
      </c>
      <c r="D146" s="411" t="s">
        <v>864</v>
      </c>
      <c r="E146" s="411" t="s">
        <v>546</v>
      </c>
      <c r="F146" s="412">
        <v>90794485.290000007</v>
      </c>
      <c r="G146" s="412">
        <f>SUM(G147:G149)</f>
        <v>84891.47</v>
      </c>
      <c r="H146" s="412">
        <f>SUM(H147:H150)</f>
        <v>38986340.939999998</v>
      </c>
    </row>
    <row r="147" spans="1:8" x14ac:dyDescent="0.2">
      <c r="A147" s="410" t="s">
        <v>983</v>
      </c>
      <c r="B147" s="411" t="s">
        <v>289</v>
      </c>
      <c r="C147" s="411" t="s">
        <v>932</v>
      </c>
      <c r="D147" s="411" t="s">
        <v>864</v>
      </c>
      <c r="E147" s="411" t="s">
        <v>984</v>
      </c>
      <c r="F147" s="412">
        <v>88994485.290000007</v>
      </c>
      <c r="G147" s="412"/>
      <c r="H147" s="412">
        <v>37009878.549999997</v>
      </c>
    </row>
    <row r="148" spans="1:8" x14ac:dyDescent="0.2">
      <c r="A148" s="410" t="s">
        <v>985</v>
      </c>
      <c r="B148" s="411" t="s">
        <v>986</v>
      </c>
      <c r="C148" s="411" t="s">
        <v>932</v>
      </c>
      <c r="D148" s="411" t="s">
        <v>864</v>
      </c>
      <c r="E148" s="411" t="s">
        <v>987</v>
      </c>
      <c r="F148" s="412"/>
      <c r="G148" s="412">
        <v>84891.47</v>
      </c>
      <c r="H148" s="412"/>
    </row>
    <row r="149" spans="1:8" x14ac:dyDescent="0.2">
      <c r="A149" s="438" t="s">
        <v>988</v>
      </c>
      <c r="B149" s="411" t="s">
        <v>289</v>
      </c>
      <c r="C149" s="411" t="s">
        <v>932</v>
      </c>
      <c r="D149" s="411" t="s">
        <v>864</v>
      </c>
      <c r="E149" s="411" t="s">
        <v>552</v>
      </c>
      <c r="F149" s="412">
        <v>1800000</v>
      </c>
      <c r="G149" s="412"/>
      <c r="H149" s="412">
        <v>748707</v>
      </c>
    </row>
    <row r="150" spans="1:8" x14ac:dyDescent="0.2">
      <c r="A150" s="410" t="s">
        <v>989</v>
      </c>
      <c r="B150" s="411" t="s">
        <v>289</v>
      </c>
      <c r="C150" s="411" t="s">
        <v>932</v>
      </c>
      <c r="D150" s="411" t="s">
        <v>864</v>
      </c>
      <c r="E150" s="411" t="s">
        <v>990</v>
      </c>
      <c r="F150" s="412"/>
      <c r="G150" s="412"/>
      <c r="H150" s="412">
        <v>1227755.3899999999</v>
      </c>
    </row>
    <row r="151" spans="1:8" ht="15.75" x14ac:dyDescent="0.2">
      <c r="A151" s="450" t="s">
        <v>371</v>
      </c>
      <c r="B151" s="458" t="s">
        <v>289</v>
      </c>
      <c r="C151" s="406" t="s">
        <v>932</v>
      </c>
      <c r="D151" s="406" t="s">
        <v>864</v>
      </c>
      <c r="E151" s="406" t="s">
        <v>862</v>
      </c>
      <c r="F151" s="416"/>
      <c r="G151" s="416"/>
      <c r="H151" s="421">
        <f>SUM(H153:H155)</f>
        <v>1983660.2</v>
      </c>
    </row>
    <row r="152" spans="1:8" x14ac:dyDescent="0.2">
      <c r="A152" s="430" t="s">
        <v>991</v>
      </c>
      <c r="B152" s="453" t="s">
        <v>289</v>
      </c>
      <c r="C152" s="411" t="s">
        <v>932</v>
      </c>
      <c r="D152" s="411" t="s">
        <v>864</v>
      </c>
      <c r="E152" s="411" t="s">
        <v>992</v>
      </c>
      <c r="F152" s="416"/>
      <c r="G152" s="416"/>
      <c r="H152" s="416">
        <v>0</v>
      </c>
    </row>
    <row r="153" spans="1:8" x14ac:dyDescent="0.2">
      <c r="A153" s="430" t="s">
        <v>993</v>
      </c>
      <c r="B153" s="453" t="s">
        <v>289</v>
      </c>
      <c r="C153" s="411" t="s">
        <v>932</v>
      </c>
      <c r="D153" s="411" t="s">
        <v>864</v>
      </c>
      <c r="E153" s="411" t="s">
        <v>992</v>
      </c>
      <c r="F153" s="416"/>
      <c r="G153" s="416"/>
      <c r="H153" s="416">
        <v>1295000</v>
      </c>
    </row>
    <row r="154" spans="1:8" ht="30" x14ac:dyDescent="0.2">
      <c r="A154" s="430" t="s">
        <v>994</v>
      </c>
      <c r="B154" s="453" t="s">
        <v>289</v>
      </c>
      <c r="C154" s="411" t="s">
        <v>932</v>
      </c>
      <c r="D154" s="411" t="s">
        <v>864</v>
      </c>
      <c r="E154" s="411" t="s">
        <v>992</v>
      </c>
      <c r="F154" s="416"/>
      <c r="G154" s="416"/>
      <c r="H154" s="416">
        <v>630000</v>
      </c>
    </row>
    <row r="155" spans="1:8" x14ac:dyDescent="0.2">
      <c r="A155" s="438" t="s">
        <v>995</v>
      </c>
      <c r="B155" s="411" t="s">
        <v>289</v>
      </c>
      <c r="C155" s="411" t="s">
        <v>932</v>
      </c>
      <c r="D155" s="411" t="s">
        <v>864</v>
      </c>
      <c r="E155" s="411" t="s">
        <v>996</v>
      </c>
      <c r="F155" s="412"/>
      <c r="G155" s="412"/>
      <c r="H155" s="412">
        <v>58660.2</v>
      </c>
    </row>
    <row r="156" spans="1:8" ht="15.75" hidden="1" x14ac:dyDescent="0.2">
      <c r="A156" s="450"/>
      <c r="B156" s="458"/>
      <c r="C156" s="406"/>
      <c r="D156" s="406"/>
      <c r="E156" s="406"/>
      <c r="F156" s="416"/>
      <c r="G156" s="416"/>
      <c r="H156" s="421"/>
    </row>
    <row r="157" spans="1:8" hidden="1" x14ac:dyDescent="0.2">
      <c r="A157" s="430"/>
      <c r="B157" s="453"/>
      <c r="C157" s="411"/>
      <c r="D157" s="411"/>
      <c r="E157" s="411"/>
      <c r="F157" s="416"/>
      <c r="G157" s="416"/>
      <c r="H157" s="416"/>
    </row>
    <row r="158" spans="1:8" hidden="1" x14ac:dyDescent="0.2">
      <c r="A158" s="430"/>
      <c r="B158" s="453"/>
      <c r="C158" s="411"/>
      <c r="D158" s="411"/>
      <c r="E158" s="411"/>
      <c r="F158" s="416"/>
      <c r="G158" s="416"/>
      <c r="H158" s="416"/>
    </row>
    <row r="159" spans="1:8" ht="23.25" customHeight="1" x14ac:dyDescent="0.2">
      <c r="A159" s="433" t="s">
        <v>834</v>
      </c>
      <c r="B159" s="405" t="s">
        <v>289</v>
      </c>
      <c r="C159" s="406" t="s">
        <v>893</v>
      </c>
      <c r="D159" s="406" t="s">
        <v>707</v>
      </c>
      <c r="E159" s="406" t="s">
        <v>862</v>
      </c>
      <c r="F159" s="407">
        <v>90908870.480000004</v>
      </c>
      <c r="G159" s="407" t="e">
        <f>G160+G164+G209+G187</f>
        <v>#REF!</v>
      </c>
      <c r="H159" s="408">
        <f>H160+H164</f>
        <v>5127610.4800000004</v>
      </c>
    </row>
    <row r="160" spans="1:8" ht="15.75" x14ac:dyDescent="0.2">
      <c r="A160" s="433" t="s">
        <v>562</v>
      </c>
      <c r="B160" s="405" t="s">
        <v>289</v>
      </c>
      <c r="C160" s="406" t="s">
        <v>893</v>
      </c>
      <c r="D160" s="406" t="s">
        <v>864</v>
      </c>
      <c r="E160" s="406" t="s">
        <v>862</v>
      </c>
      <c r="F160" s="407">
        <v>14593062.42</v>
      </c>
      <c r="G160" s="407">
        <f>G161</f>
        <v>0</v>
      </c>
      <c r="H160" s="407">
        <f>H161</f>
        <v>760740.48</v>
      </c>
    </row>
    <row r="161" spans="1:11" ht="15.75" x14ac:dyDescent="0.2">
      <c r="A161" s="404" t="s">
        <v>371</v>
      </c>
      <c r="B161" s="405" t="s">
        <v>289</v>
      </c>
      <c r="C161" s="406" t="s">
        <v>893</v>
      </c>
      <c r="D161" s="406" t="s">
        <v>864</v>
      </c>
      <c r="E161" s="406" t="s">
        <v>966</v>
      </c>
      <c r="F161" s="407">
        <v>14593062.42</v>
      </c>
      <c r="G161" s="407">
        <f>G162</f>
        <v>0</v>
      </c>
      <c r="H161" s="466">
        <f>H162</f>
        <v>760740.48</v>
      </c>
    </row>
    <row r="162" spans="1:11" ht="30" x14ac:dyDescent="0.2">
      <c r="A162" s="441" t="s">
        <v>835</v>
      </c>
      <c r="B162" s="415" t="s">
        <v>289</v>
      </c>
      <c r="C162" s="411" t="s">
        <v>893</v>
      </c>
      <c r="D162" s="411" t="s">
        <v>864</v>
      </c>
      <c r="E162" s="411" t="s">
        <v>997</v>
      </c>
      <c r="F162" s="412">
        <v>14593062.42</v>
      </c>
      <c r="G162" s="412"/>
      <c r="H162" s="412">
        <v>760740.48</v>
      </c>
    </row>
    <row r="163" spans="1:11" ht="15.75" hidden="1" x14ac:dyDescent="0.2">
      <c r="A163" s="433"/>
      <c r="B163" s="405"/>
      <c r="C163" s="406"/>
      <c r="D163" s="406"/>
      <c r="E163" s="406"/>
      <c r="F163" s="407"/>
      <c r="G163" s="407"/>
      <c r="H163" s="407"/>
    </row>
    <row r="164" spans="1:11" ht="15" hidden="1" customHeight="1" x14ac:dyDescent="0.2">
      <c r="A164" s="433" t="s">
        <v>566</v>
      </c>
      <c r="B164" s="405" t="s">
        <v>289</v>
      </c>
      <c r="C164" s="406" t="s">
        <v>893</v>
      </c>
      <c r="D164" s="406" t="s">
        <v>720</v>
      </c>
      <c r="E164" s="406" t="s">
        <v>862</v>
      </c>
      <c r="F164" s="407">
        <v>42814421.549999997</v>
      </c>
      <c r="G164" s="407" t="e">
        <f>G165+G181</f>
        <v>#REF!</v>
      </c>
      <c r="H164" s="466">
        <f>H181</f>
        <v>4366870</v>
      </c>
    </row>
    <row r="165" spans="1:11" s="437" customFormat="1" ht="18.75" hidden="1" customHeight="1" x14ac:dyDescent="0.25">
      <c r="A165" s="404" t="s">
        <v>371</v>
      </c>
      <c r="B165" s="406" t="s">
        <v>373</v>
      </c>
      <c r="C165" s="406" t="s">
        <v>893</v>
      </c>
      <c r="D165" s="406" t="s">
        <v>720</v>
      </c>
      <c r="E165" s="406" t="s">
        <v>998</v>
      </c>
      <c r="F165" s="407">
        <v>1537863.15</v>
      </c>
      <c r="G165" s="407">
        <f>G166</f>
        <v>-471171.31999999995</v>
      </c>
      <c r="H165" s="407">
        <v>0</v>
      </c>
      <c r="I165" s="435"/>
      <c r="J165" s="436"/>
      <c r="K165" s="436"/>
    </row>
    <row r="166" spans="1:11" ht="30" hidden="1" x14ac:dyDescent="0.2">
      <c r="A166" s="410" t="s">
        <v>999</v>
      </c>
      <c r="B166" s="411" t="s">
        <v>373</v>
      </c>
      <c r="C166" s="411" t="s">
        <v>893</v>
      </c>
      <c r="D166" s="411" t="s">
        <v>720</v>
      </c>
      <c r="E166" s="411" t="s">
        <v>998</v>
      </c>
      <c r="F166" s="412">
        <v>1537863.15</v>
      </c>
      <c r="G166" s="416">
        <f>-289147.35-182023.97</f>
        <v>-471171.31999999995</v>
      </c>
      <c r="H166" s="412">
        <v>0</v>
      </c>
    </row>
    <row r="167" spans="1:11" ht="24" hidden="1" customHeight="1" x14ac:dyDescent="0.2">
      <c r="A167" s="404" t="s">
        <v>1000</v>
      </c>
      <c r="B167" s="406" t="s">
        <v>373</v>
      </c>
      <c r="C167" s="406" t="s">
        <v>893</v>
      </c>
      <c r="D167" s="406" t="s">
        <v>720</v>
      </c>
      <c r="E167" s="406" t="s">
        <v>1001</v>
      </c>
      <c r="F167" s="416"/>
      <c r="G167" s="416"/>
      <c r="H167" s="416"/>
    </row>
    <row r="168" spans="1:11" ht="29.25" hidden="1" customHeight="1" x14ac:dyDescent="0.2">
      <c r="A168" s="449" t="s">
        <v>1002</v>
      </c>
      <c r="B168" s="411" t="s">
        <v>373</v>
      </c>
      <c r="C168" s="411" t="s">
        <v>893</v>
      </c>
      <c r="D168" s="411" t="s">
        <v>720</v>
      </c>
      <c r="E168" s="411" t="s">
        <v>1001</v>
      </c>
      <c r="F168" s="416"/>
      <c r="G168" s="416"/>
      <c r="H168" s="416"/>
    </row>
    <row r="169" spans="1:11" ht="20.25" hidden="1" customHeight="1" x14ac:dyDescent="0.2">
      <c r="A169" s="439" t="s">
        <v>1003</v>
      </c>
      <c r="B169" s="423"/>
      <c r="C169" s="423"/>
      <c r="D169" s="423"/>
      <c r="E169" s="423"/>
      <c r="F169" s="416"/>
      <c r="G169" s="416"/>
      <c r="H169" s="416"/>
    </row>
    <row r="170" spans="1:11" hidden="1" x14ac:dyDescent="0.2">
      <c r="A170" s="439" t="s">
        <v>1004</v>
      </c>
      <c r="B170" s="423"/>
      <c r="C170" s="423"/>
      <c r="D170" s="423"/>
      <c r="E170" s="423"/>
      <c r="F170" s="416"/>
      <c r="G170" s="416"/>
      <c r="H170" s="416"/>
    </row>
    <row r="171" spans="1:11" hidden="1" x14ac:dyDescent="0.2">
      <c r="A171" s="439" t="s">
        <v>1005</v>
      </c>
      <c r="B171" s="423"/>
      <c r="C171" s="423"/>
      <c r="D171" s="423"/>
      <c r="E171" s="423"/>
      <c r="F171" s="416"/>
      <c r="G171" s="416"/>
      <c r="H171" s="416"/>
    </row>
    <row r="172" spans="1:11" hidden="1" x14ac:dyDescent="0.2">
      <c r="A172" s="439" t="s">
        <v>1006</v>
      </c>
      <c r="B172" s="423"/>
      <c r="C172" s="423"/>
      <c r="D172" s="423"/>
      <c r="E172" s="423"/>
      <c r="F172" s="416"/>
      <c r="G172" s="416"/>
      <c r="H172" s="416"/>
    </row>
    <row r="173" spans="1:11" hidden="1" x14ac:dyDescent="0.2">
      <c r="A173" s="439" t="s">
        <v>1007</v>
      </c>
      <c r="B173" s="423"/>
      <c r="C173" s="423"/>
      <c r="D173" s="423"/>
      <c r="E173" s="423"/>
      <c r="F173" s="416"/>
      <c r="G173" s="416"/>
      <c r="H173" s="416"/>
    </row>
    <row r="174" spans="1:11" ht="30" hidden="1" customHeight="1" x14ac:dyDescent="0.2">
      <c r="A174" s="439" t="s">
        <v>1008</v>
      </c>
      <c r="B174" s="423"/>
      <c r="C174" s="423"/>
      <c r="D174" s="423"/>
      <c r="E174" s="423"/>
      <c r="F174" s="416"/>
      <c r="G174" s="416"/>
      <c r="H174" s="416"/>
    </row>
    <row r="175" spans="1:11" ht="23.25" hidden="1" customHeight="1" x14ac:dyDescent="0.2">
      <c r="A175" s="439" t="s">
        <v>1009</v>
      </c>
      <c r="B175" s="423"/>
      <c r="C175" s="423"/>
      <c r="D175" s="423"/>
      <c r="E175" s="423"/>
      <c r="F175" s="416"/>
      <c r="G175" s="416"/>
      <c r="H175" s="416"/>
    </row>
    <row r="176" spans="1:11" ht="30" hidden="1" x14ac:dyDescent="0.2">
      <c r="A176" s="439" t="s">
        <v>1010</v>
      </c>
      <c r="B176" s="423"/>
      <c r="C176" s="423"/>
      <c r="D176" s="423"/>
      <c r="E176" s="423"/>
      <c r="F176" s="416"/>
      <c r="G176" s="416"/>
      <c r="H176" s="416"/>
    </row>
    <row r="177" spans="1:11" ht="49.5" hidden="1" customHeight="1" x14ac:dyDescent="0.2">
      <c r="A177" s="439" t="s">
        <v>1011</v>
      </c>
      <c r="B177" s="423"/>
      <c r="C177" s="423"/>
      <c r="D177" s="423"/>
      <c r="E177" s="423"/>
      <c r="F177" s="416"/>
      <c r="G177" s="416"/>
      <c r="H177" s="416"/>
    </row>
    <row r="178" spans="1:11" ht="26.25" hidden="1" customHeight="1" x14ac:dyDescent="0.2">
      <c r="A178" s="439" t="s">
        <v>1012</v>
      </c>
      <c r="B178" s="423"/>
      <c r="C178" s="423"/>
      <c r="D178" s="423"/>
      <c r="E178" s="423"/>
      <c r="F178" s="416"/>
      <c r="G178" s="416"/>
      <c r="H178" s="416"/>
    </row>
    <row r="179" spans="1:11" ht="39.75" hidden="1" customHeight="1" x14ac:dyDescent="0.2">
      <c r="A179" s="439" t="s">
        <v>1013</v>
      </c>
      <c r="B179" s="423"/>
      <c r="C179" s="423"/>
      <c r="D179" s="423"/>
      <c r="E179" s="423"/>
      <c r="F179" s="416"/>
      <c r="G179" s="416"/>
      <c r="H179" s="416"/>
    </row>
    <row r="180" spans="1:11" ht="37.5" hidden="1" customHeight="1" x14ac:dyDescent="0.2">
      <c r="A180" s="467" t="s">
        <v>1014</v>
      </c>
      <c r="B180" s="406" t="s">
        <v>168</v>
      </c>
      <c r="C180" s="406" t="s">
        <v>893</v>
      </c>
      <c r="D180" s="406" t="s">
        <v>720</v>
      </c>
      <c r="E180" s="406" t="s">
        <v>862</v>
      </c>
      <c r="F180" s="468"/>
      <c r="G180" s="468"/>
      <c r="H180" s="468"/>
    </row>
    <row r="181" spans="1:11" ht="21.75" customHeight="1" x14ac:dyDescent="0.2">
      <c r="A181" s="404" t="s">
        <v>639</v>
      </c>
      <c r="B181" s="406" t="s">
        <v>289</v>
      </c>
      <c r="C181" s="406" t="s">
        <v>893</v>
      </c>
      <c r="D181" s="406" t="s">
        <v>720</v>
      </c>
      <c r="E181" s="406" t="s">
        <v>862</v>
      </c>
      <c r="F181" s="468">
        <v>41276558.399999999</v>
      </c>
      <c r="G181" s="468" t="e">
        <f>#REF!+G183+G184+G185+G186</f>
        <v>#REF!</v>
      </c>
      <c r="H181" s="469">
        <f>SUM(H182:H219)</f>
        <v>4366870</v>
      </c>
    </row>
    <row r="182" spans="1:11" s="465" customFormat="1" ht="30" x14ac:dyDescent="0.2">
      <c r="A182" s="449" t="s">
        <v>568</v>
      </c>
      <c r="B182" s="423" t="s">
        <v>289</v>
      </c>
      <c r="C182" s="423" t="s">
        <v>893</v>
      </c>
      <c r="D182" s="423" t="s">
        <v>720</v>
      </c>
      <c r="E182" s="423" t="s">
        <v>570</v>
      </c>
      <c r="F182" s="429">
        <v>1000000</v>
      </c>
      <c r="G182" s="431">
        <v>392904</v>
      </c>
      <c r="H182" s="429">
        <v>646370</v>
      </c>
      <c r="I182" s="463"/>
      <c r="J182" s="464"/>
      <c r="K182" s="464"/>
    </row>
    <row r="183" spans="1:11" ht="30" x14ac:dyDescent="0.2">
      <c r="A183" s="449" t="s">
        <v>588</v>
      </c>
      <c r="B183" s="423" t="s">
        <v>289</v>
      </c>
      <c r="C183" s="423" t="s">
        <v>893</v>
      </c>
      <c r="D183" s="423" t="s">
        <v>720</v>
      </c>
      <c r="E183" s="423" t="s">
        <v>589</v>
      </c>
      <c r="F183" s="429">
        <v>4260000</v>
      </c>
      <c r="G183" s="431"/>
      <c r="H183" s="429">
        <v>139500</v>
      </c>
    </row>
    <row r="184" spans="1:11" ht="30" hidden="1" x14ac:dyDescent="0.2">
      <c r="A184" s="449" t="s">
        <v>1015</v>
      </c>
      <c r="B184" s="411" t="s">
        <v>373</v>
      </c>
      <c r="C184" s="411" t="s">
        <v>893</v>
      </c>
      <c r="D184" s="411" t="s">
        <v>720</v>
      </c>
      <c r="E184" s="411" t="s">
        <v>1016</v>
      </c>
      <c r="F184" s="412">
        <v>2650000</v>
      </c>
      <c r="G184" s="416"/>
      <c r="H184" s="412">
        <v>0</v>
      </c>
    </row>
    <row r="185" spans="1:11" hidden="1" x14ac:dyDescent="0.2">
      <c r="A185" s="449" t="s">
        <v>1017</v>
      </c>
      <c r="B185" s="411" t="s">
        <v>373</v>
      </c>
      <c r="C185" s="411" t="s">
        <v>893</v>
      </c>
      <c r="D185" s="411" t="s">
        <v>720</v>
      </c>
      <c r="E185" s="411" t="s">
        <v>1018</v>
      </c>
      <c r="F185" s="412">
        <v>1000000</v>
      </c>
      <c r="G185" s="416"/>
      <c r="H185" s="412"/>
    </row>
    <row r="186" spans="1:11" ht="30" hidden="1" x14ac:dyDescent="0.2">
      <c r="A186" s="470" t="s">
        <v>1019</v>
      </c>
      <c r="B186" s="411" t="s">
        <v>373</v>
      </c>
      <c r="C186" s="411" t="s">
        <v>893</v>
      </c>
      <c r="D186" s="411" t="s">
        <v>720</v>
      </c>
      <c r="E186" s="411" t="s">
        <v>1020</v>
      </c>
      <c r="F186" s="412">
        <v>2392500</v>
      </c>
      <c r="G186" s="416">
        <f>110550</f>
        <v>110550</v>
      </c>
      <c r="H186" s="412">
        <v>0</v>
      </c>
    </row>
    <row r="187" spans="1:11" ht="23.25" hidden="1" customHeight="1" x14ac:dyDescent="0.2">
      <c r="A187" s="433" t="s">
        <v>1021</v>
      </c>
      <c r="B187" s="406" t="s">
        <v>373</v>
      </c>
      <c r="C187" s="406" t="s">
        <v>893</v>
      </c>
      <c r="D187" s="406" t="s">
        <v>874</v>
      </c>
      <c r="E187" s="406" t="s">
        <v>862</v>
      </c>
      <c r="F187" s="468">
        <v>22432106.609999999</v>
      </c>
      <c r="G187" s="468">
        <f>G202+G207</f>
        <v>0</v>
      </c>
      <c r="H187" s="468">
        <v>0</v>
      </c>
    </row>
    <row r="188" spans="1:11" ht="28.5" hidden="1" customHeight="1" x14ac:dyDescent="0.2">
      <c r="A188" s="404" t="s">
        <v>889</v>
      </c>
      <c r="B188" s="406" t="s">
        <v>373</v>
      </c>
      <c r="C188" s="406" t="s">
        <v>893</v>
      </c>
      <c r="D188" s="406" t="s">
        <v>874</v>
      </c>
      <c r="E188" s="406" t="s">
        <v>862</v>
      </c>
      <c r="F188" s="416"/>
      <c r="G188" s="416"/>
      <c r="H188" s="416"/>
    </row>
    <row r="189" spans="1:11" ht="28.5" hidden="1" customHeight="1" x14ac:dyDescent="0.2">
      <c r="A189" s="449" t="s">
        <v>1022</v>
      </c>
      <c r="B189" s="406"/>
      <c r="C189" s="406"/>
      <c r="D189" s="406"/>
      <c r="E189" s="406"/>
      <c r="F189" s="416"/>
      <c r="G189" s="416"/>
      <c r="H189" s="416"/>
    </row>
    <row r="190" spans="1:11" ht="33.75" hidden="1" customHeight="1" x14ac:dyDescent="0.2">
      <c r="A190" s="438" t="s">
        <v>1023</v>
      </c>
      <c r="B190" s="411" t="s">
        <v>373</v>
      </c>
      <c r="C190" s="411" t="s">
        <v>893</v>
      </c>
      <c r="D190" s="411" t="s">
        <v>874</v>
      </c>
      <c r="E190" s="411" t="s">
        <v>862</v>
      </c>
      <c r="F190" s="416"/>
      <c r="G190" s="416"/>
      <c r="H190" s="416"/>
    </row>
    <row r="191" spans="1:11" ht="28.5" hidden="1" customHeight="1" x14ac:dyDescent="0.2">
      <c r="A191" s="471" t="s">
        <v>1024</v>
      </c>
      <c r="B191" s="411" t="s">
        <v>373</v>
      </c>
      <c r="C191" s="411" t="s">
        <v>893</v>
      </c>
      <c r="D191" s="411" t="s">
        <v>874</v>
      </c>
      <c r="E191" s="411" t="s">
        <v>1025</v>
      </c>
      <c r="F191" s="416"/>
      <c r="G191" s="416"/>
      <c r="H191" s="416"/>
    </row>
    <row r="192" spans="1:11" ht="21" hidden="1" customHeight="1" x14ac:dyDescent="0.2">
      <c r="A192" s="471" t="s">
        <v>1026</v>
      </c>
      <c r="B192" s="411" t="s">
        <v>373</v>
      </c>
      <c r="C192" s="411" t="s">
        <v>893</v>
      </c>
      <c r="D192" s="411" t="s">
        <v>874</v>
      </c>
      <c r="E192" s="411" t="s">
        <v>1027</v>
      </c>
      <c r="F192" s="416"/>
      <c r="G192" s="416"/>
      <c r="H192" s="416"/>
    </row>
    <row r="193" spans="1:11" ht="49.5" hidden="1" customHeight="1" x14ac:dyDescent="0.2">
      <c r="A193" s="471" t="s">
        <v>1028</v>
      </c>
      <c r="B193" s="411" t="s">
        <v>373</v>
      </c>
      <c r="C193" s="411" t="s">
        <v>893</v>
      </c>
      <c r="D193" s="411" t="s">
        <v>874</v>
      </c>
      <c r="E193" s="411" t="s">
        <v>1025</v>
      </c>
      <c r="F193" s="416"/>
      <c r="G193" s="416"/>
      <c r="H193" s="416"/>
    </row>
    <row r="194" spans="1:11" ht="39.75" hidden="1" customHeight="1" x14ac:dyDescent="0.2">
      <c r="A194" s="449" t="s">
        <v>1029</v>
      </c>
      <c r="B194" s="472" t="s">
        <v>373</v>
      </c>
      <c r="C194" s="472" t="s">
        <v>893</v>
      </c>
      <c r="D194" s="472" t="s">
        <v>874</v>
      </c>
      <c r="E194" s="472" t="s">
        <v>1030</v>
      </c>
      <c r="F194" s="416"/>
      <c r="G194" s="416"/>
      <c r="H194" s="416"/>
    </row>
    <row r="195" spans="1:11" ht="41.25" hidden="1" customHeight="1" x14ac:dyDescent="0.2">
      <c r="A195" s="473" t="s">
        <v>1022</v>
      </c>
      <c r="B195" s="474">
        <v>800</v>
      </c>
      <c r="C195" s="475" t="s">
        <v>893</v>
      </c>
      <c r="D195" s="475" t="s">
        <v>874</v>
      </c>
      <c r="E195" s="411" t="s">
        <v>1031</v>
      </c>
      <c r="F195" s="416"/>
      <c r="G195" s="416"/>
      <c r="H195" s="416"/>
    </row>
    <row r="196" spans="1:11" ht="0.75" hidden="1" customHeight="1" x14ac:dyDescent="0.2">
      <c r="A196" s="473"/>
      <c r="B196" s="474"/>
      <c r="C196" s="475"/>
      <c r="D196" s="475"/>
      <c r="E196" s="475"/>
      <c r="F196" s="416"/>
      <c r="G196" s="416"/>
      <c r="H196" s="416"/>
    </row>
    <row r="197" spans="1:11" ht="37.5" hidden="1" customHeight="1" x14ac:dyDescent="0.2">
      <c r="A197" s="473" t="s">
        <v>1032</v>
      </c>
      <c r="B197" s="474">
        <v>800</v>
      </c>
      <c r="C197" s="475" t="s">
        <v>893</v>
      </c>
      <c r="D197" s="475" t="s">
        <v>874</v>
      </c>
      <c r="E197" s="475" t="s">
        <v>1033</v>
      </c>
      <c r="F197" s="416"/>
      <c r="G197" s="416"/>
      <c r="H197" s="416"/>
    </row>
    <row r="198" spans="1:11" ht="37.5" hidden="1" customHeight="1" x14ac:dyDescent="0.2">
      <c r="A198" s="473" t="s">
        <v>1034</v>
      </c>
      <c r="B198" s="474">
        <v>800</v>
      </c>
      <c r="C198" s="475" t="s">
        <v>893</v>
      </c>
      <c r="D198" s="475" t="s">
        <v>874</v>
      </c>
      <c r="E198" s="475" t="s">
        <v>1035</v>
      </c>
      <c r="F198" s="416"/>
      <c r="G198" s="416"/>
      <c r="H198" s="416"/>
    </row>
    <row r="199" spans="1:11" ht="37.5" hidden="1" customHeight="1" x14ac:dyDescent="0.2">
      <c r="A199" s="473" t="s">
        <v>1036</v>
      </c>
      <c r="B199" s="474">
        <v>800</v>
      </c>
      <c r="C199" s="475" t="s">
        <v>893</v>
      </c>
      <c r="D199" s="475" t="s">
        <v>874</v>
      </c>
      <c r="E199" s="475" t="s">
        <v>1037</v>
      </c>
      <c r="F199" s="416"/>
      <c r="G199" s="416"/>
      <c r="H199" s="416"/>
    </row>
    <row r="200" spans="1:11" ht="37.5" hidden="1" customHeight="1" x14ac:dyDescent="0.2">
      <c r="A200" s="473" t="s">
        <v>1038</v>
      </c>
      <c r="B200" s="474">
        <v>800</v>
      </c>
      <c r="C200" s="475" t="s">
        <v>893</v>
      </c>
      <c r="D200" s="475" t="s">
        <v>874</v>
      </c>
      <c r="E200" s="475" t="s">
        <v>1039</v>
      </c>
      <c r="F200" s="416"/>
      <c r="G200" s="416"/>
      <c r="H200" s="416"/>
    </row>
    <row r="201" spans="1:11" ht="37.5" hidden="1" customHeight="1" x14ac:dyDescent="0.2">
      <c r="A201" s="473" t="s">
        <v>1040</v>
      </c>
      <c r="B201" s="474">
        <v>800</v>
      </c>
      <c r="C201" s="475" t="s">
        <v>893</v>
      </c>
      <c r="D201" s="475" t="s">
        <v>874</v>
      </c>
      <c r="E201" s="475" t="s">
        <v>1039</v>
      </c>
      <c r="F201" s="416"/>
      <c r="G201" s="416"/>
      <c r="H201" s="416"/>
    </row>
    <row r="202" spans="1:11" s="437" customFormat="1" ht="36" hidden="1" customHeight="1" x14ac:dyDescent="0.25">
      <c r="A202" s="473" t="s">
        <v>1041</v>
      </c>
      <c r="B202" s="476">
        <v>800</v>
      </c>
      <c r="C202" s="420" t="s">
        <v>893</v>
      </c>
      <c r="D202" s="420" t="s">
        <v>874</v>
      </c>
      <c r="E202" s="420" t="s">
        <v>862</v>
      </c>
      <c r="F202" s="407">
        <v>22150462.609999999</v>
      </c>
      <c r="G202" s="421">
        <f>SUM(G203:G206)</f>
        <v>0</v>
      </c>
      <c r="H202" s="407">
        <v>0</v>
      </c>
      <c r="I202" s="435"/>
      <c r="J202" s="436"/>
      <c r="K202" s="436"/>
    </row>
    <row r="203" spans="1:11" s="465" customFormat="1" ht="60" hidden="1" x14ac:dyDescent="0.2">
      <c r="A203" s="477" t="s">
        <v>1042</v>
      </c>
      <c r="B203" s="478">
        <v>800</v>
      </c>
      <c r="C203" s="479" t="s">
        <v>893</v>
      </c>
      <c r="D203" s="479" t="s">
        <v>874</v>
      </c>
      <c r="E203" s="479" t="s">
        <v>1043</v>
      </c>
      <c r="F203" s="429">
        <v>3724454.25</v>
      </c>
      <c r="G203" s="431"/>
      <c r="H203" s="429">
        <v>0</v>
      </c>
      <c r="I203" s="463"/>
      <c r="J203" s="464"/>
      <c r="K203" s="464"/>
    </row>
    <row r="204" spans="1:11" s="465" customFormat="1" ht="60" hidden="1" x14ac:dyDescent="0.2">
      <c r="A204" s="477" t="s">
        <v>1044</v>
      </c>
      <c r="B204" s="478">
        <v>800</v>
      </c>
      <c r="C204" s="479" t="s">
        <v>893</v>
      </c>
      <c r="D204" s="479" t="s">
        <v>874</v>
      </c>
      <c r="E204" s="479" t="s">
        <v>1043</v>
      </c>
      <c r="F204" s="429">
        <v>1311783.75</v>
      </c>
      <c r="G204" s="431"/>
      <c r="H204" s="429">
        <v>0</v>
      </c>
      <c r="I204" s="463"/>
      <c r="J204" s="464"/>
      <c r="K204" s="464"/>
    </row>
    <row r="205" spans="1:11" s="465" customFormat="1" ht="90" hidden="1" x14ac:dyDescent="0.2">
      <c r="A205" s="477" t="s">
        <v>1045</v>
      </c>
      <c r="B205" s="478">
        <v>800</v>
      </c>
      <c r="C205" s="479" t="s">
        <v>893</v>
      </c>
      <c r="D205" s="479" t="s">
        <v>874</v>
      </c>
      <c r="E205" s="479" t="s">
        <v>1046</v>
      </c>
      <c r="F205" s="429">
        <v>382052</v>
      </c>
      <c r="G205" s="431"/>
      <c r="H205" s="429">
        <v>0</v>
      </c>
      <c r="I205" s="463"/>
      <c r="J205" s="464"/>
      <c r="K205" s="464"/>
    </row>
    <row r="206" spans="1:11" s="465" customFormat="1" ht="60" hidden="1" x14ac:dyDescent="0.2">
      <c r="A206" s="477" t="s">
        <v>1047</v>
      </c>
      <c r="B206" s="478">
        <v>800</v>
      </c>
      <c r="C206" s="479" t="s">
        <v>893</v>
      </c>
      <c r="D206" s="479" t="s">
        <v>874</v>
      </c>
      <c r="E206" s="479" t="s">
        <v>1048</v>
      </c>
      <c r="F206" s="429">
        <v>14676699.109999999</v>
      </c>
      <c r="G206" s="431"/>
      <c r="H206" s="429">
        <v>0</v>
      </c>
      <c r="I206" s="463"/>
      <c r="J206" s="464"/>
      <c r="K206" s="464"/>
    </row>
    <row r="207" spans="1:11" ht="20.25" hidden="1" customHeight="1" x14ac:dyDescent="0.2">
      <c r="A207" s="449" t="s">
        <v>1049</v>
      </c>
      <c r="B207" s="474">
        <v>800</v>
      </c>
      <c r="C207" s="475" t="s">
        <v>893</v>
      </c>
      <c r="D207" s="475" t="s">
        <v>874</v>
      </c>
      <c r="E207" s="411" t="s">
        <v>1050</v>
      </c>
      <c r="F207" s="412">
        <v>281644</v>
      </c>
      <c r="G207" s="416">
        <f>G208</f>
        <v>0</v>
      </c>
      <c r="H207" s="412">
        <v>0</v>
      </c>
    </row>
    <row r="208" spans="1:11" s="465" customFormat="1" ht="45" hidden="1" x14ac:dyDescent="0.2">
      <c r="A208" s="439" t="s">
        <v>1051</v>
      </c>
      <c r="B208" s="478">
        <v>800</v>
      </c>
      <c r="C208" s="479" t="s">
        <v>893</v>
      </c>
      <c r="D208" s="479" t="s">
        <v>874</v>
      </c>
      <c r="E208" s="423" t="s">
        <v>1050</v>
      </c>
      <c r="F208" s="429">
        <v>281644</v>
      </c>
      <c r="G208" s="431"/>
      <c r="H208" s="429">
        <v>0</v>
      </c>
      <c r="I208" s="463"/>
      <c r="J208" s="464"/>
      <c r="K208" s="464"/>
    </row>
    <row r="209" spans="1:11" ht="29.25" hidden="1" customHeight="1" x14ac:dyDescent="0.2">
      <c r="A209" s="434" t="s">
        <v>1052</v>
      </c>
      <c r="B209" s="476">
        <v>800</v>
      </c>
      <c r="C209" s="420" t="s">
        <v>893</v>
      </c>
      <c r="D209" s="420" t="s">
        <v>969</v>
      </c>
      <c r="E209" s="420" t="s">
        <v>862</v>
      </c>
      <c r="F209" s="459">
        <v>11069279.9</v>
      </c>
      <c r="G209" s="459">
        <f>G213+G215+G211</f>
        <v>75360</v>
      </c>
      <c r="H209" s="459">
        <v>0</v>
      </c>
    </row>
    <row r="210" spans="1:11" ht="31.5" hidden="1" customHeight="1" x14ac:dyDescent="0.2">
      <c r="A210" s="473" t="s">
        <v>1053</v>
      </c>
      <c r="B210" s="411" t="s">
        <v>373</v>
      </c>
      <c r="C210" s="411" t="s">
        <v>1054</v>
      </c>
      <c r="D210" s="411" t="s">
        <v>969</v>
      </c>
      <c r="E210" s="411" t="s">
        <v>1055</v>
      </c>
      <c r="F210" s="416"/>
      <c r="G210" s="459">
        <f>G214+G216+G212</f>
        <v>0</v>
      </c>
      <c r="H210" s="416"/>
    </row>
    <row r="211" spans="1:11" ht="31.5" hidden="1" customHeight="1" x14ac:dyDescent="0.2">
      <c r="A211" s="473" t="s">
        <v>1056</v>
      </c>
      <c r="B211" s="474">
        <v>800</v>
      </c>
      <c r="C211" s="475" t="s">
        <v>893</v>
      </c>
      <c r="D211" s="475" t="s">
        <v>969</v>
      </c>
      <c r="E211" s="475" t="s">
        <v>1057</v>
      </c>
      <c r="F211" s="480">
        <v>6581690.1299999999</v>
      </c>
      <c r="G211" s="480">
        <f>G212</f>
        <v>0</v>
      </c>
      <c r="H211" s="480">
        <v>0</v>
      </c>
    </row>
    <row r="212" spans="1:11" s="465" customFormat="1" ht="31.5" hidden="1" customHeight="1" x14ac:dyDescent="0.2">
      <c r="A212" s="477" t="s">
        <v>1058</v>
      </c>
      <c r="B212" s="478">
        <v>800</v>
      </c>
      <c r="C212" s="479" t="s">
        <v>893</v>
      </c>
      <c r="D212" s="479" t="s">
        <v>969</v>
      </c>
      <c r="E212" s="479" t="s">
        <v>1057</v>
      </c>
      <c r="F212" s="429">
        <v>6581690.1299999999</v>
      </c>
      <c r="G212" s="431"/>
      <c r="H212" s="429">
        <v>0</v>
      </c>
      <c r="I212" s="463"/>
      <c r="J212" s="464"/>
      <c r="K212" s="464"/>
    </row>
    <row r="213" spans="1:11" ht="36" hidden="1" customHeight="1" x14ac:dyDescent="0.2">
      <c r="A213" s="449" t="s">
        <v>1059</v>
      </c>
      <c r="B213" s="411" t="s">
        <v>373</v>
      </c>
      <c r="C213" s="411" t="s">
        <v>1054</v>
      </c>
      <c r="D213" s="411" t="s">
        <v>969</v>
      </c>
      <c r="E213" s="411" t="s">
        <v>862</v>
      </c>
      <c r="F213" s="412">
        <v>4392108.3600000003</v>
      </c>
      <c r="G213" s="416">
        <f>G214+75360</f>
        <v>75360</v>
      </c>
      <c r="H213" s="412">
        <v>0</v>
      </c>
    </row>
    <row r="214" spans="1:11" s="465" customFormat="1" ht="30.75" hidden="1" customHeight="1" x14ac:dyDescent="0.2">
      <c r="A214" s="439" t="s">
        <v>1060</v>
      </c>
      <c r="B214" s="423" t="s">
        <v>373</v>
      </c>
      <c r="C214" s="423" t="s">
        <v>1054</v>
      </c>
      <c r="D214" s="423" t="s">
        <v>969</v>
      </c>
      <c r="E214" s="423" t="s">
        <v>1055</v>
      </c>
      <c r="F214" s="429">
        <v>4263471.91</v>
      </c>
      <c r="G214" s="431"/>
      <c r="H214" s="429">
        <v>0</v>
      </c>
      <c r="I214" s="463"/>
      <c r="J214" s="464"/>
      <c r="K214" s="464"/>
    </row>
    <row r="215" spans="1:11" hidden="1" x14ac:dyDescent="0.2">
      <c r="A215" s="449" t="s">
        <v>1061</v>
      </c>
      <c r="B215" s="411" t="s">
        <v>373</v>
      </c>
      <c r="C215" s="411" t="s">
        <v>893</v>
      </c>
      <c r="D215" s="411" t="s">
        <v>969</v>
      </c>
      <c r="E215" s="411" t="s">
        <v>1062</v>
      </c>
      <c r="F215" s="481">
        <v>95481.41</v>
      </c>
      <c r="G215" s="481">
        <f>G216</f>
        <v>0</v>
      </c>
      <c r="H215" s="481">
        <v>0</v>
      </c>
    </row>
    <row r="216" spans="1:11" s="465" customFormat="1" ht="75" hidden="1" x14ac:dyDescent="0.2">
      <c r="A216" s="482" t="s">
        <v>1063</v>
      </c>
      <c r="B216" s="423" t="s">
        <v>373</v>
      </c>
      <c r="C216" s="423" t="s">
        <v>893</v>
      </c>
      <c r="D216" s="423" t="s">
        <v>969</v>
      </c>
      <c r="E216" s="423" t="s">
        <v>1062</v>
      </c>
      <c r="F216" s="429">
        <v>95481.41</v>
      </c>
      <c r="G216" s="431"/>
      <c r="H216" s="429">
        <v>0</v>
      </c>
      <c r="I216" s="463"/>
      <c r="J216" s="464"/>
      <c r="K216" s="464"/>
    </row>
    <row r="217" spans="1:11" s="465" customFormat="1" ht="30" x14ac:dyDescent="0.2">
      <c r="A217" s="482" t="s">
        <v>688</v>
      </c>
      <c r="B217" s="423" t="s">
        <v>289</v>
      </c>
      <c r="C217" s="423" t="s">
        <v>893</v>
      </c>
      <c r="D217" s="423" t="s">
        <v>720</v>
      </c>
      <c r="E217" s="423" t="s">
        <v>1064</v>
      </c>
      <c r="F217" s="429"/>
      <c r="G217" s="431"/>
      <c r="H217" s="429">
        <v>3000000</v>
      </c>
      <c r="I217" s="463"/>
      <c r="J217" s="464"/>
      <c r="K217" s="464"/>
    </row>
    <row r="218" spans="1:11" s="465" customFormat="1" ht="45" x14ac:dyDescent="0.2">
      <c r="A218" s="482" t="s">
        <v>687</v>
      </c>
      <c r="B218" s="423" t="s">
        <v>289</v>
      </c>
      <c r="C218" s="423" t="s">
        <v>893</v>
      </c>
      <c r="D218" s="423" t="s">
        <v>720</v>
      </c>
      <c r="E218" s="423" t="s">
        <v>582</v>
      </c>
      <c r="F218" s="429"/>
      <c r="G218" s="431"/>
      <c r="H218" s="429">
        <v>267000</v>
      </c>
      <c r="I218" s="463"/>
      <c r="J218" s="464"/>
      <c r="K218" s="464"/>
    </row>
    <row r="219" spans="1:11" s="465" customFormat="1" ht="45" x14ac:dyDescent="0.2">
      <c r="A219" s="482" t="s">
        <v>687</v>
      </c>
      <c r="B219" s="423" t="s">
        <v>289</v>
      </c>
      <c r="C219" s="423" t="s">
        <v>893</v>
      </c>
      <c r="D219" s="423" t="s">
        <v>720</v>
      </c>
      <c r="E219" s="423" t="s">
        <v>586</v>
      </c>
      <c r="F219" s="429"/>
      <c r="G219" s="431"/>
      <c r="H219" s="429">
        <v>314000</v>
      </c>
      <c r="I219" s="463"/>
      <c r="J219" s="464"/>
      <c r="K219" s="464"/>
    </row>
    <row r="220" spans="1:11" ht="21" customHeight="1" x14ac:dyDescent="0.2">
      <c r="A220" s="483" t="s">
        <v>1065</v>
      </c>
      <c r="B220" s="405" t="s">
        <v>289</v>
      </c>
      <c r="C220" s="406" t="s">
        <v>880</v>
      </c>
      <c r="D220" s="406" t="s">
        <v>707</v>
      </c>
      <c r="E220" s="406" t="s">
        <v>862</v>
      </c>
      <c r="F220" s="407">
        <v>18000000</v>
      </c>
      <c r="G220" s="407">
        <f>G221</f>
        <v>-5151155.76</v>
      </c>
      <c r="H220" s="408">
        <f>H221+H223</f>
        <v>45247407.699999996</v>
      </c>
    </row>
    <row r="221" spans="1:11" ht="23.25" customHeight="1" x14ac:dyDescent="0.2">
      <c r="A221" s="483" t="s">
        <v>592</v>
      </c>
      <c r="B221" s="405" t="s">
        <v>289</v>
      </c>
      <c r="C221" s="406" t="s">
        <v>880</v>
      </c>
      <c r="D221" s="406" t="s">
        <v>913</v>
      </c>
      <c r="E221" s="406" t="s">
        <v>862</v>
      </c>
      <c r="F221" s="407">
        <v>18000000</v>
      </c>
      <c r="G221" s="407">
        <f>G222</f>
        <v>-5151155.76</v>
      </c>
      <c r="H221" s="407">
        <f>H222</f>
        <v>36500325.299999997</v>
      </c>
    </row>
    <row r="222" spans="1:11" ht="30" x14ac:dyDescent="0.2">
      <c r="A222" s="430" t="s">
        <v>1066</v>
      </c>
      <c r="B222" s="415" t="s">
        <v>289</v>
      </c>
      <c r="C222" s="411" t="s">
        <v>880</v>
      </c>
      <c r="D222" s="411" t="s">
        <v>913</v>
      </c>
      <c r="E222" s="411" t="s">
        <v>1067</v>
      </c>
      <c r="F222" s="412">
        <v>18000000</v>
      </c>
      <c r="G222" s="412">
        <f>-5151155.76</f>
        <v>-5151155.76</v>
      </c>
      <c r="H222" s="412">
        <f>36040447.87+100000+341884+17993.43</f>
        <v>36500325.299999997</v>
      </c>
    </row>
    <row r="223" spans="1:11" ht="15.75" x14ac:dyDescent="0.2">
      <c r="A223" s="450" t="s">
        <v>371</v>
      </c>
      <c r="B223" s="458" t="s">
        <v>289</v>
      </c>
      <c r="C223" s="406" t="s">
        <v>880</v>
      </c>
      <c r="D223" s="406" t="s">
        <v>913</v>
      </c>
      <c r="E223" s="406" t="s">
        <v>862</v>
      </c>
      <c r="F223" s="412"/>
      <c r="G223" s="412"/>
      <c r="H223" s="407">
        <f>H224</f>
        <v>8747082.4000000004</v>
      </c>
    </row>
    <row r="224" spans="1:11" ht="30" x14ac:dyDescent="0.2">
      <c r="A224" s="430" t="s">
        <v>1066</v>
      </c>
      <c r="B224" s="415" t="s">
        <v>289</v>
      </c>
      <c r="C224" s="411" t="s">
        <v>880</v>
      </c>
      <c r="D224" s="411" t="s">
        <v>913</v>
      </c>
      <c r="E224" s="423" t="s">
        <v>966</v>
      </c>
      <c r="F224" s="412">
        <v>18000000</v>
      </c>
      <c r="G224" s="412">
        <f>-5151155.76</f>
        <v>-5151155.76</v>
      </c>
      <c r="H224" s="412">
        <f>1217544+300000+300000+6929538.4</f>
        <v>8747082.4000000004</v>
      </c>
    </row>
    <row r="225" spans="1:8" ht="15.75" hidden="1" x14ac:dyDescent="0.2">
      <c r="A225" s="430"/>
      <c r="B225" s="415"/>
      <c r="C225" s="411"/>
      <c r="D225" s="411"/>
      <c r="E225" s="411"/>
      <c r="F225" s="412"/>
      <c r="G225" s="412"/>
      <c r="H225" s="407"/>
    </row>
    <row r="226" spans="1:8" ht="27.75" hidden="1" customHeight="1" x14ac:dyDescent="0.2">
      <c r="A226" s="404" t="s">
        <v>1068</v>
      </c>
      <c r="B226" s="405" t="s">
        <v>373</v>
      </c>
      <c r="C226" s="406" t="s">
        <v>943</v>
      </c>
      <c r="D226" s="406" t="s">
        <v>867</v>
      </c>
      <c r="E226" s="406" t="s">
        <v>862</v>
      </c>
      <c r="F226" s="407">
        <v>4045000</v>
      </c>
      <c r="G226" s="407">
        <f>G227</f>
        <v>0</v>
      </c>
      <c r="H226" s="407">
        <v>0</v>
      </c>
    </row>
    <row r="227" spans="1:8" ht="45.75" hidden="1" customHeight="1" x14ac:dyDescent="0.2">
      <c r="A227" s="410" t="s">
        <v>1069</v>
      </c>
      <c r="B227" s="415" t="s">
        <v>373</v>
      </c>
      <c r="C227" s="411" t="s">
        <v>943</v>
      </c>
      <c r="D227" s="411" t="s">
        <v>867</v>
      </c>
      <c r="E227" s="411" t="s">
        <v>1070</v>
      </c>
      <c r="F227" s="412">
        <v>4045000</v>
      </c>
      <c r="G227" s="416"/>
      <c r="H227" s="412">
        <v>0</v>
      </c>
    </row>
    <row r="228" spans="1:8" ht="15" hidden="1" customHeight="1" x14ac:dyDescent="0.2">
      <c r="A228" s="439"/>
      <c r="B228" s="423"/>
      <c r="C228" s="423"/>
      <c r="D228" s="423"/>
      <c r="E228" s="423"/>
      <c r="F228" s="416"/>
      <c r="G228" s="416"/>
      <c r="H228" s="416"/>
    </row>
    <row r="229" spans="1:8" ht="31.5" hidden="1" customHeight="1" x14ac:dyDescent="0.2">
      <c r="A229" s="483" t="s">
        <v>1071</v>
      </c>
      <c r="B229" s="406" t="s">
        <v>373</v>
      </c>
      <c r="C229" s="406" t="s">
        <v>882</v>
      </c>
      <c r="D229" s="406" t="s">
        <v>707</v>
      </c>
      <c r="E229" s="406" t="s">
        <v>1072</v>
      </c>
      <c r="F229" s="416"/>
      <c r="G229" s="416"/>
      <c r="H229" s="416"/>
    </row>
    <row r="230" spans="1:8" ht="40.5" hidden="1" customHeight="1" x14ac:dyDescent="0.2">
      <c r="A230" s="441" t="s">
        <v>1073</v>
      </c>
      <c r="B230" s="411" t="s">
        <v>373</v>
      </c>
      <c r="C230" s="411" t="s">
        <v>882</v>
      </c>
      <c r="D230" s="411" t="s">
        <v>864</v>
      </c>
      <c r="E230" s="411" t="s">
        <v>1074</v>
      </c>
      <c r="F230" s="416"/>
      <c r="G230" s="416"/>
      <c r="H230" s="416"/>
    </row>
    <row r="231" spans="1:8" ht="27.75" hidden="1" customHeight="1" x14ac:dyDescent="0.2">
      <c r="A231" s="432" t="s">
        <v>1075</v>
      </c>
      <c r="B231" s="405" t="s">
        <v>373</v>
      </c>
      <c r="C231" s="406" t="s">
        <v>882</v>
      </c>
      <c r="D231" s="406" t="s">
        <v>707</v>
      </c>
      <c r="E231" s="406" t="s">
        <v>862</v>
      </c>
      <c r="F231" s="416"/>
      <c r="G231" s="416"/>
      <c r="H231" s="416"/>
    </row>
    <row r="232" spans="1:8" ht="31.5" hidden="1" customHeight="1" x14ac:dyDescent="0.2">
      <c r="A232" s="441" t="s">
        <v>840</v>
      </c>
      <c r="B232" s="415" t="s">
        <v>373</v>
      </c>
      <c r="C232" s="411" t="s">
        <v>882</v>
      </c>
      <c r="D232" s="411" t="s">
        <v>864</v>
      </c>
      <c r="E232" s="411" t="s">
        <v>1076</v>
      </c>
      <c r="F232" s="416"/>
      <c r="G232" s="416"/>
      <c r="H232" s="416"/>
    </row>
    <row r="233" spans="1:8" ht="22.5" hidden="1" customHeight="1" x14ac:dyDescent="0.2">
      <c r="A233" s="441"/>
      <c r="B233" s="411"/>
      <c r="C233" s="411"/>
      <c r="D233" s="411"/>
      <c r="E233" s="411"/>
      <c r="F233" s="416"/>
      <c r="G233" s="416"/>
      <c r="H233" s="416"/>
    </row>
    <row r="234" spans="1:8" ht="12.75" hidden="1" customHeight="1" x14ac:dyDescent="0.2">
      <c r="A234" s="441"/>
      <c r="B234" s="411"/>
      <c r="C234" s="411"/>
      <c r="D234" s="411"/>
      <c r="E234" s="411"/>
      <c r="F234" s="416"/>
      <c r="G234" s="416"/>
      <c r="H234" s="416"/>
    </row>
    <row r="235" spans="1:8" ht="47.25" x14ac:dyDescent="0.2">
      <c r="A235" s="404" t="s">
        <v>1077</v>
      </c>
      <c r="B235" s="406" t="s">
        <v>289</v>
      </c>
      <c r="C235" s="406" t="s">
        <v>902</v>
      </c>
      <c r="D235" s="406" t="s">
        <v>707</v>
      </c>
      <c r="E235" s="406" t="s">
        <v>862</v>
      </c>
      <c r="F235" s="468">
        <v>182704698.88</v>
      </c>
      <c r="G235" s="468">
        <f>SUM(G236:G237)</f>
        <v>-114099.97000000015</v>
      </c>
      <c r="H235" s="469">
        <f>H237</f>
        <v>835127.44</v>
      </c>
    </row>
    <row r="236" spans="1:8" hidden="1" x14ac:dyDescent="0.2">
      <c r="A236" s="410" t="s">
        <v>1078</v>
      </c>
      <c r="B236" s="411" t="s">
        <v>373</v>
      </c>
      <c r="C236" s="411" t="s">
        <v>902</v>
      </c>
      <c r="D236" s="411" t="s">
        <v>864</v>
      </c>
      <c r="E236" s="484">
        <v>9960061010</v>
      </c>
      <c r="F236" s="412">
        <v>142448000</v>
      </c>
      <c r="G236" s="416"/>
      <c r="H236" s="412">
        <v>0</v>
      </c>
    </row>
    <row r="237" spans="1:8" ht="15.75" x14ac:dyDescent="0.2">
      <c r="A237" s="404" t="s">
        <v>1078</v>
      </c>
      <c r="B237" s="406" t="s">
        <v>289</v>
      </c>
      <c r="C237" s="406" t="s">
        <v>902</v>
      </c>
      <c r="D237" s="406" t="s">
        <v>720</v>
      </c>
      <c r="E237" s="406" t="s">
        <v>1079</v>
      </c>
      <c r="F237" s="407">
        <v>40256698.879999995</v>
      </c>
      <c r="G237" s="468">
        <f>1304940.14-1029072.78-473475.14+473475.14-389967.33</f>
        <v>-114099.97000000015</v>
      </c>
      <c r="H237" s="466">
        <f>H238+H250+H251</f>
        <v>835127.44</v>
      </c>
    </row>
    <row r="238" spans="1:8" ht="17.25" customHeight="1" x14ac:dyDescent="0.2">
      <c r="A238" s="471" t="s">
        <v>616</v>
      </c>
      <c r="B238" s="423" t="s">
        <v>289</v>
      </c>
      <c r="C238" s="411" t="s">
        <v>902</v>
      </c>
      <c r="D238" s="411" t="s">
        <v>720</v>
      </c>
      <c r="E238" s="423" t="s">
        <v>1079</v>
      </c>
      <c r="F238" s="416"/>
      <c r="G238" s="416"/>
      <c r="H238" s="416">
        <v>337360.07</v>
      </c>
    </row>
    <row r="239" spans="1:8" ht="26.25" hidden="1" customHeight="1" x14ac:dyDescent="0.2">
      <c r="A239" s="404" t="s">
        <v>1080</v>
      </c>
      <c r="B239" s="406" t="s">
        <v>1081</v>
      </c>
      <c r="C239" s="411" t="s">
        <v>902</v>
      </c>
      <c r="D239" s="411" t="s">
        <v>720</v>
      </c>
      <c r="E239" s="406" t="s">
        <v>862</v>
      </c>
      <c r="F239" s="407">
        <v>30543093.280000001</v>
      </c>
      <c r="G239" s="407" t="e">
        <f>#REF!</f>
        <v>#REF!</v>
      </c>
      <c r="H239" s="407">
        <v>0</v>
      </c>
    </row>
    <row r="240" spans="1:8" ht="23.25" hidden="1" customHeight="1" x14ac:dyDescent="0.2">
      <c r="A240" s="404" t="s">
        <v>371</v>
      </c>
      <c r="B240" s="406" t="s">
        <v>373</v>
      </c>
      <c r="C240" s="411" t="s">
        <v>902</v>
      </c>
      <c r="D240" s="411" t="s">
        <v>720</v>
      </c>
      <c r="E240" s="406" t="s">
        <v>862</v>
      </c>
      <c r="F240" s="407">
        <v>30543093.280000001</v>
      </c>
      <c r="G240" s="407" t="e">
        <f>G241</f>
        <v>#REF!</v>
      </c>
      <c r="H240" s="407">
        <v>0</v>
      </c>
    </row>
    <row r="241" spans="1:8" ht="36.75" hidden="1" customHeight="1" x14ac:dyDescent="0.2">
      <c r="A241" s="404" t="s">
        <v>869</v>
      </c>
      <c r="B241" s="405" t="s">
        <v>373</v>
      </c>
      <c r="C241" s="411" t="s">
        <v>902</v>
      </c>
      <c r="D241" s="411" t="s">
        <v>720</v>
      </c>
      <c r="E241" s="406" t="s">
        <v>870</v>
      </c>
      <c r="F241" s="407">
        <v>30543093.280000001</v>
      </c>
      <c r="G241" s="407" t="e">
        <f>SUM(G242:G338)</f>
        <v>#REF!</v>
      </c>
      <c r="H241" s="407">
        <v>0</v>
      </c>
    </row>
    <row r="242" spans="1:8" hidden="1" x14ac:dyDescent="0.2">
      <c r="A242" s="410" t="s">
        <v>871</v>
      </c>
      <c r="B242" s="415" t="s">
        <v>373</v>
      </c>
      <c r="C242" s="411" t="s">
        <v>902</v>
      </c>
      <c r="D242" s="411" t="s">
        <v>720</v>
      </c>
      <c r="E242" s="411" t="s">
        <v>870</v>
      </c>
      <c r="F242" s="412">
        <v>20527260.359999999</v>
      </c>
      <c r="G242" s="416">
        <v>-870000</v>
      </c>
      <c r="H242" s="412"/>
    </row>
    <row r="243" spans="1:8" hidden="1" x14ac:dyDescent="0.2">
      <c r="A243" s="410" t="s">
        <v>872</v>
      </c>
      <c r="B243" s="415" t="s">
        <v>373</v>
      </c>
      <c r="C243" s="411" t="s">
        <v>902</v>
      </c>
      <c r="D243" s="411" t="s">
        <v>720</v>
      </c>
      <c r="E243" s="411" t="s">
        <v>873</v>
      </c>
      <c r="F243" s="412">
        <v>10015832.92</v>
      </c>
      <c r="G243" s="412"/>
      <c r="H243" s="412"/>
    </row>
    <row r="244" spans="1:8" hidden="1" x14ac:dyDescent="0.2">
      <c r="A244" s="430"/>
      <c r="B244" s="415"/>
      <c r="C244" s="411" t="s">
        <v>902</v>
      </c>
      <c r="D244" s="411" t="s">
        <v>720</v>
      </c>
      <c r="E244" s="411"/>
      <c r="F244" s="416"/>
      <c r="G244" s="416"/>
      <c r="H244" s="416"/>
    </row>
    <row r="245" spans="1:8" ht="28.5" hidden="1" customHeight="1" x14ac:dyDescent="0.2">
      <c r="A245" s="404" t="s">
        <v>1082</v>
      </c>
      <c r="B245" s="406" t="s">
        <v>375</v>
      </c>
      <c r="C245" s="411" t="s">
        <v>902</v>
      </c>
      <c r="D245" s="411" t="s">
        <v>720</v>
      </c>
      <c r="E245" s="406" t="s">
        <v>862</v>
      </c>
      <c r="F245" s="407">
        <v>26246647.43</v>
      </c>
      <c r="G245" s="407" t="e">
        <f>G246</f>
        <v>#REF!</v>
      </c>
      <c r="H245" s="407">
        <v>0</v>
      </c>
    </row>
    <row r="246" spans="1:8" ht="20.25" hidden="1" customHeight="1" x14ac:dyDescent="0.2">
      <c r="A246" s="404" t="s">
        <v>371</v>
      </c>
      <c r="B246" s="406" t="s">
        <v>375</v>
      </c>
      <c r="C246" s="411" t="s">
        <v>902</v>
      </c>
      <c r="D246" s="411" t="s">
        <v>720</v>
      </c>
      <c r="E246" s="406" t="s">
        <v>862</v>
      </c>
      <c r="F246" s="407">
        <v>26246647.43</v>
      </c>
      <c r="G246" s="407" t="e">
        <f>#REF!</f>
        <v>#REF!</v>
      </c>
      <c r="H246" s="407"/>
    </row>
    <row r="247" spans="1:8" ht="15.75" hidden="1" x14ac:dyDescent="0.2">
      <c r="A247" s="404" t="s">
        <v>865</v>
      </c>
      <c r="B247" s="405" t="s">
        <v>373</v>
      </c>
      <c r="C247" s="411" t="s">
        <v>902</v>
      </c>
      <c r="D247" s="411" t="s">
        <v>720</v>
      </c>
      <c r="E247" s="406" t="s">
        <v>862</v>
      </c>
      <c r="F247" s="412"/>
      <c r="G247" s="416"/>
      <c r="H247" s="407">
        <v>0</v>
      </c>
    </row>
    <row r="248" spans="1:8" ht="31.5" x14ac:dyDescent="0.2">
      <c r="A248" s="404" t="s">
        <v>1083</v>
      </c>
      <c r="B248" s="406" t="s">
        <v>373</v>
      </c>
      <c r="C248" s="411" t="s">
        <v>902</v>
      </c>
      <c r="D248" s="411" t="s">
        <v>720</v>
      </c>
      <c r="E248" s="406" t="s">
        <v>862</v>
      </c>
      <c r="F248" s="407">
        <v>26246647.43</v>
      </c>
      <c r="G248" s="407">
        <f>G250+G249</f>
        <v>-530000</v>
      </c>
      <c r="H248" s="407">
        <f>SUM(H250:H251)</f>
        <v>497767.37</v>
      </c>
    </row>
    <row r="249" spans="1:8" hidden="1" x14ac:dyDescent="0.2">
      <c r="A249" s="410" t="s">
        <v>871</v>
      </c>
      <c r="B249" s="415" t="s">
        <v>373</v>
      </c>
      <c r="C249" s="411" t="s">
        <v>902</v>
      </c>
      <c r="D249" s="411" t="s">
        <v>720</v>
      </c>
      <c r="E249" s="411" t="s">
        <v>870</v>
      </c>
      <c r="F249" s="412">
        <v>17883769.039999999</v>
      </c>
      <c r="G249" s="412">
        <v>-530000</v>
      </c>
      <c r="H249" s="412"/>
    </row>
    <row r="250" spans="1:8" ht="21" customHeight="1" x14ac:dyDescent="0.2">
      <c r="A250" s="485" t="s">
        <v>1084</v>
      </c>
      <c r="B250" s="415" t="s">
        <v>289</v>
      </c>
      <c r="C250" s="411" t="s">
        <v>902</v>
      </c>
      <c r="D250" s="411" t="s">
        <v>720</v>
      </c>
      <c r="E250" s="411" t="s">
        <v>1079</v>
      </c>
      <c r="F250" s="412">
        <v>8362878.3899999997</v>
      </c>
      <c r="G250" s="412"/>
      <c r="H250" s="412">
        <v>421771.37</v>
      </c>
    </row>
    <row r="251" spans="1:8" ht="15.75" customHeight="1" x14ac:dyDescent="0.2">
      <c r="A251" s="485" t="s">
        <v>1085</v>
      </c>
      <c r="B251" s="415"/>
      <c r="C251" s="411"/>
      <c r="D251" s="411"/>
      <c r="E251" s="411" t="s">
        <v>1079</v>
      </c>
      <c r="F251" s="412"/>
      <c r="G251" s="412"/>
      <c r="H251" s="412">
        <v>75996</v>
      </c>
    </row>
    <row r="252" spans="1:8" ht="12" hidden="1" customHeight="1" x14ac:dyDescent="0.2">
      <c r="A252" s="485"/>
      <c r="B252" s="415"/>
      <c r="C252" s="411"/>
      <c r="D252" s="411"/>
      <c r="E252" s="411"/>
      <c r="F252" s="412"/>
      <c r="G252" s="412"/>
      <c r="H252" s="412"/>
    </row>
    <row r="253" spans="1:8" ht="27.75" hidden="1" customHeight="1" x14ac:dyDescent="0.2">
      <c r="A253" s="450"/>
      <c r="B253" s="458"/>
      <c r="C253" s="458"/>
      <c r="D253" s="458"/>
      <c r="E253" s="458"/>
      <c r="F253" s="459"/>
      <c r="G253" s="459"/>
      <c r="H253" s="460"/>
    </row>
    <row r="254" spans="1:8" ht="15.75" hidden="1" x14ac:dyDescent="0.2">
      <c r="A254" s="404"/>
      <c r="B254" s="405"/>
      <c r="C254" s="406"/>
      <c r="D254" s="406"/>
      <c r="E254" s="406"/>
      <c r="F254" s="459"/>
      <c r="G254" s="459"/>
      <c r="H254" s="459"/>
    </row>
    <row r="255" spans="1:8" ht="14.25" hidden="1" customHeight="1" x14ac:dyDescent="0.2">
      <c r="A255" s="450"/>
      <c r="B255" s="405"/>
      <c r="C255" s="406"/>
      <c r="D255" s="406"/>
      <c r="E255" s="406"/>
      <c r="F255" s="407"/>
      <c r="G255" s="407"/>
      <c r="H255" s="407"/>
    </row>
    <row r="256" spans="1:8" ht="18.75" hidden="1" customHeight="1" x14ac:dyDescent="0.2">
      <c r="A256" s="430"/>
      <c r="B256" s="415"/>
      <c r="C256" s="411"/>
      <c r="D256" s="411"/>
      <c r="E256" s="411"/>
      <c r="F256" s="412"/>
      <c r="G256" s="416"/>
      <c r="H256" s="412"/>
    </row>
    <row r="257" spans="1:8" hidden="1" x14ac:dyDescent="0.2">
      <c r="A257" s="430"/>
      <c r="B257" s="415"/>
      <c r="C257" s="411"/>
      <c r="D257" s="411"/>
      <c r="E257" s="411"/>
      <c r="F257" s="412"/>
      <c r="G257" s="416"/>
      <c r="H257" s="412"/>
    </row>
    <row r="258" spans="1:8" ht="15.75" hidden="1" x14ac:dyDescent="0.2">
      <c r="A258" s="404"/>
      <c r="B258" s="405"/>
      <c r="C258" s="406"/>
      <c r="D258" s="406"/>
      <c r="E258" s="406"/>
      <c r="F258" s="407"/>
      <c r="G258" s="407"/>
      <c r="H258" s="466"/>
    </row>
    <row r="259" spans="1:8" ht="15.75" hidden="1" x14ac:dyDescent="0.2">
      <c r="A259" s="404"/>
      <c r="B259" s="405"/>
      <c r="C259" s="406"/>
      <c r="D259" s="406"/>
      <c r="E259" s="406"/>
      <c r="F259" s="407"/>
      <c r="G259" s="407"/>
      <c r="H259" s="407"/>
    </row>
    <row r="260" spans="1:8" ht="15.75" hidden="1" x14ac:dyDescent="0.2">
      <c r="A260" s="404"/>
      <c r="B260" s="405"/>
      <c r="C260" s="406"/>
      <c r="D260" s="406"/>
      <c r="E260" s="406"/>
      <c r="F260" s="407"/>
      <c r="G260" s="407"/>
      <c r="H260" s="407"/>
    </row>
    <row r="261" spans="1:8" hidden="1" x14ac:dyDescent="0.2">
      <c r="A261" s="438"/>
      <c r="B261" s="411"/>
      <c r="C261" s="411"/>
      <c r="D261" s="411"/>
      <c r="E261" s="411"/>
      <c r="F261" s="412"/>
      <c r="G261" s="412"/>
      <c r="H261" s="412"/>
    </row>
    <row r="262" spans="1:8" hidden="1" x14ac:dyDescent="0.2">
      <c r="A262" s="410"/>
      <c r="B262" s="411"/>
      <c r="C262" s="411"/>
      <c r="D262" s="411"/>
      <c r="E262" s="411"/>
      <c r="F262" s="412"/>
      <c r="G262" s="412"/>
      <c r="H262" s="412"/>
    </row>
    <row r="263" spans="1:8" hidden="1" x14ac:dyDescent="0.2">
      <c r="A263" s="410"/>
      <c r="B263" s="411"/>
      <c r="C263" s="411"/>
      <c r="D263" s="411"/>
      <c r="E263" s="411"/>
      <c r="F263" s="412"/>
      <c r="G263" s="412"/>
      <c r="H263" s="412"/>
    </row>
    <row r="264" spans="1:8" hidden="1" x14ac:dyDescent="0.2">
      <c r="A264" s="438"/>
      <c r="B264" s="411"/>
      <c r="C264" s="411"/>
      <c r="D264" s="411"/>
      <c r="E264" s="411"/>
      <c r="F264" s="412"/>
      <c r="G264" s="412"/>
      <c r="H264" s="412"/>
    </row>
    <row r="265" spans="1:8" hidden="1" x14ac:dyDescent="0.2">
      <c r="A265" s="410"/>
      <c r="B265" s="411"/>
      <c r="C265" s="411"/>
      <c r="D265" s="411"/>
      <c r="E265" s="411"/>
      <c r="F265" s="412"/>
      <c r="G265" s="412"/>
      <c r="H265" s="412"/>
    </row>
    <row r="266" spans="1:8" ht="15.75" hidden="1" x14ac:dyDescent="0.2">
      <c r="A266" s="450"/>
      <c r="B266" s="458"/>
      <c r="C266" s="406"/>
      <c r="D266" s="406"/>
      <c r="E266" s="406"/>
      <c r="F266" s="416"/>
      <c r="G266" s="416"/>
      <c r="H266" s="421"/>
    </row>
    <row r="267" spans="1:8" hidden="1" x14ac:dyDescent="0.2">
      <c r="A267" s="430"/>
      <c r="B267" s="453"/>
      <c r="C267" s="411"/>
      <c r="D267" s="411"/>
      <c r="E267" s="411"/>
      <c r="F267" s="416"/>
      <c r="G267" s="416"/>
      <c r="H267" s="416"/>
    </row>
    <row r="268" spans="1:8" hidden="1" x14ac:dyDescent="0.2">
      <c r="A268" s="430"/>
      <c r="B268" s="453"/>
      <c r="C268" s="411"/>
      <c r="D268" s="411"/>
      <c r="E268" s="411"/>
      <c r="F268" s="416"/>
      <c r="G268" s="416"/>
      <c r="H268" s="416"/>
    </row>
    <row r="269" spans="1:8" hidden="1" x14ac:dyDescent="0.2">
      <c r="A269" s="430"/>
      <c r="B269" s="453"/>
      <c r="C269" s="411"/>
      <c r="D269" s="411"/>
      <c r="E269" s="411"/>
      <c r="F269" s="416"/>
      <c r="G269" s="416"/>
      <c r="H269" s="416"/>
    </row>
    <row r="270" spans="1:8" hidden="1" x14ac:dyDescent="0.2">
      <c r="A270" s="438"/>
      <c r="B270" s="411"/>
      <c r="C270" s="411"/>
      <c r="D270" s="411"/>
      <c r="E270" s="411"/>
      <c r="F270" s="412"/>
      <c r="G270" s="412"/>
      <c r="H270" s="412"/>
    </row>
    <row r="271" spans="1:8" ht="15.75" hidden="1" x14ac:dyDescent="0.2">
      <c r="A271" s="483"/>
      <c r="B271" s="405"/>
      <c r="C271" s="406"/>
      <c r="D271" s="406"/>
      <c r="E271" s="406"/>
      <c r="F271" s="407"/>
      <c r="G271" s="407"/>
      <c r="H271" s="407"/>
    </row>
    <row r="272" spans="1:8" ht="15.75" hidden="1" x14ac:dyDescent="0.2">
      <c r="A272" s="483"/>
      <c r="B272" s="405"/>
      <c r="C272" s="406"/>
      <c r="D272" s="406"/>
      <c r="E272" s="406"/>
      <c r="F272" s="407"/>
      <c r="G272" s="407"/>
      <c r="H272" s="407"/>
    </row>
    <row r="273" spans="1:9" ht="15.75" hidden="1" x14ac:dyDescent="0.2">
      <c r="A273" s="404"/>
      <c r="B273" s="405"/>
      <c r="C273" s="406"/>
      <c r="D273" s="406"/>
      <c r="E273" s="406"/>
      <c r="F273" s="407"/>
      <c r="G273" s="407"/>
      <c r="H273" s="407"/>
    </row>
    <row r="274" spans="1:9" ht="42.75" hidden="1" customHeight="1" x14ac:dyDescent="0.2">
      <c r="A274" s="438"/>
      <c r="B274" s="415"/>
      <c r="C274" s="411"/>
      <c r="D274" s="411"/>
      <c r="E274" s="411"/>
      <c r="F274" s="412"/>
      <c r="G274" s="412"/>
      <c r="H274" s="412"/>
    </row>
    <row r="275" spans="1:9" ht="22.5" hidden="1" customHeight="1" x14ac:dyDescent="0.2">
      <c r="A275" s="410"/>
      <c r="B275" s="415"/>
      <c r="C275" s="411"/>
      <c r="D275" s="411"/>
      <c r="E275" s="411"/>
      <c r="F275" s="412"/>
      <c r="G275" s="412"/>
      <c r="H275" s="412"/>
    </row>
    <row r="276" spans="1:9" hidden="1" x14ac:dyDescent="0.2">
      <c r="A276" s="471"/>
      <c r="B276" s="415"/>
      <c r="C276" s="411"/>
      <c r="D276" s="411"/>
      <c r="E276" s="411"/>
      <c r="F276" s="416"/>
      <c r="G276" s="416"/>
      <c r="H276" s="416"/>
    </row>
    <row r="277" spans="1:9" hidden="1" x14ac:dyDescent="0.2">
      <c r="A277" s="438"/>
      <c r="B277" s="415"/>
      <c r="C277" s="411"/>
      <c r="D277" s="411"/>
      <c r="E277" s="411"/>
      <c r="F277" s="412"/>
      <c r="G277" s="412"/>
      <c r="H277" s="412"/>
    </row>
    <row r="278" spans="1:9" ht="15.75" hidden="1" x14ac:dyDescent="0.2">
      <c r="A278" s="450"/>
      <c r="B278" s="405"/>
      <c r="C278" s="406"/>
      <c r="D278" s="406"/>
      <c r="E278" s="406"/>
      <c r="F278" s="412"/>
      <c r="G278" s="412"/>
      <c r="H278" s="407"/>
    </row>
    <row r="279" spans="1:9" ht="25.5" hidden="1" customHeight="1" x14ac:dyDescent="0.2">
      <c r="A279" s="410"/>
      <c r="B279" s="415"/>
      <c r="C279" s="411"/>
      <c r="D279" s="411"/>
      <c r="E279" s="452"/>
      <c r="F279" s="412"/>
      <c r="G279" s="412"/>
      <c r="H279" s="412"/>
    </row>
    <row r="280" spans="1:9" ht="23.25" hidden="1" customHeight="1" x14ac:dyDescent="0.2">
      <c r="A280" s="430"/>
      <c r="B280" s="415"/>
      <c r="C280" s="411"/>
      <c r="D280" s="411"/>
      <c r="E280" s="452"/>
      <c r="F280" s="412"/>
      <c r="G280" s="412"/>
      <c r="H280" s="412"/>
    </row>
    <row r="281" spans="1:9" ht="36.75" hidden="1" customHeight="1" x14ac:dyDescent="0.2">
      <c r="A281" s="430"/>
      <c r="B281" s="415"/>
      <c r="C281" s="411"/>
      <c r="D281" s="411"/>
      <c r="E281" s="452"/>
      <c r="F281" s="412"/>
      <c r="G281" s="412"/>
      <c r="H281" s="412"/>
    </row>
    <row r="282" spans="1:9" ht="36.75" hidden="1" customHeight="1" x14ac:dyDescent="0.2">
      <c r="A282" s="430"/>
      <c r="B282" s="415"/>
      <c r="C282" s="411"/>
      <c r="D282" s="411"/>
      <c r="E282" s="452"/>
      <c r="F282" s="412"/>
      <c r="G282" s="412"/>
      <c r="H282" s="412"/>
    </row>
    <row r="283" spans="1:9" ht="15.75" hidden="1" x14ac:dyDescent="0.2">
      <c r="A283" s="433"/>
      <c r="B283" s="406"/>
      <c r="C283" s="406"/>
      <c r="D283" s="406"/>
      <c r="E283" s="406"/>
      <c r="F283" s="407"/>
      <c r="G283" s="407"/>
      <c r="H283" s="407"/>
    </row>
    <row r="284" spans="1:9" hidden="1" x14ac:dyDescent="0.2">
      <c r="A284" s="410"/>
      <c r="B284" s="411"/>
      <c r="C284" s="411"/>
      <c r="D284" s="411"/>
      <c r="E284" s="411"/>
      <c r="F284" s="412"/>
      <c r="G284" s="412"/>
      <c r="H284" s="412"/>
    </row>
    <row r="285" spans="1:9" ht="15.75" hidden="1" x14ac:dyDescent="0.2">
      <c r="A285" s="439"/>
      <c r="B285" s="405"/>
      <c r="C285" s="406"/>
      <c r="D285" s="406"/>
      <c r="E285" s="406"/>
      <c r="F285" s="416"/>
      <c r="G285" s="416"/>
      <c r="H285" s="416"/>
    </row>
    <row r="286" spans="1:9" ht="20.25" x14ac:dyDescent="0.25">
      <c r="A286" s="404" t="s">
        <v>1086</v>
      </c>
      <c r="B286" s="486"/>
      <c r="C286" s="487"/>
      <c r="D286" s="487"/>
      <c r="E286" s="487"/>
      <c r="F286" s="407" t="e">
        <f>F14+F239+F245+F253+#REF!+#REF!</f>
        <v>#REF!</v>
      </c>
      <c r="G286" s="407" t="e">
        <f>G14+G239+G245+G253+#REF!+#REF!</f>
        <v>#REF!</v>
      </c>
      <c r="H286" s="488">
        <f>H235+H220+H159+H143+H133+H128+H99+H93+H85+H81+H64+H46+H42+H32+H25+H20+H17+H28+H30</f>
        <v>241364774.81</v>
      </c>
      <c r="I286" s="390">
        <v>231770098.53</v>
      </c>
    </row>
    <row r="287" spans="1:9" ht="15.75" x14ac:dyDescent="0.25">
      <c r="A287" s="489"/>
      <c r="B287" s="490"/>
      <c r="C287" s="491"/>
      <c r="D287" s="491"/>
      <c r="E287" s="491"/>
      <c r="F287" s="492"/>
      <c r="G287" s="492"/>
      <c r="H287" s="492"/>
      <c r="I287" s="390">
        <f>I286-H286</f>
        <v>-9594676.2800000012</v>
      </c>
    </row>
    <row r="288" spans="1:9" ht="15.75" x14ac:dyDescent="0.25">
      <c r="A288" s="489"/>
      <c r="B288" s="490"/>
      <c r="C288" s="491"/>
      <c r="D288" s="491"/>
      <c r="E288" s="491"/>
      <c r="F288" s="492"/>
      <c r="G288" s="492"/>
      <c r="H288" s="390">
        <v>231770098.53</v>
      </c>
    </row>
    <row r="289" spans="1:22" ht="15.75" x14ac:dyDescent="0.25">
      <c r="A289" s="489"/>
      <c r="B289" s="490"/>
      <c r="C289" s="491"/>
      <c r="D289" s="491"/>
      <c r="E289" s="491"/>
      <c r="F289" s="492"/>
      <c r="G289" s="492"/>
      <c r="H289" s="493">
        <f>H286-H288</f>
        <v>9594676.2800000012</v>
      </c>
    </row>
    <row r="290" spans="1:22" ht="15.75" x14ac:dyDescent="0.25">
      <c r="F290" s="494"/>
      <c r="G290" s="494"/>
      <c r="H290" s="495"/>
      <c r="I290" s="388"/>
      <c r="J290" s="496"/>
      <c r="K290" s="496"/>
      <c r="L290" s="497"/>
      <c r="M290" s="497"/>
      <c r="N290" s="497"/>
      <c r="O290" s="497"/>
      <c r="P290" s="497"/>
      <c r="Q290" s="498"/>
      <c r="R290" s="498"/>
      <c r="S290" s="497"/>
      <c r="T290" s="497"/>
      <c r="U290" s="497"/>
      <c r="V290" s="499"/>
    </row>
    <row r="291" spans="1:22" ht="15.75" x14ac:dyDescent="0.25">
      <c r="A291" s="499" t="s">
        <v>1087</v>
      </c>
      <c r="B291" s="500"/>
      <c r="C291" s="497"/>
      <c r="D291" s="497"/>
      <c r="E291" s="497"/>
      <c r="F291" s="494"/>
      <c r="G291" s="494"/>
      <c r="H291" s="501" t="s">
        <v>1088</v>
      </c>
      <c r="I291" s="497"/>
      <c r="J291" s="496"/>
      <c r="K291" s="496"/>
      <c r="L291" s="497"/>
      <c r="M291" s="497"/>
      <c r="N291" s="497"/>
      <c r="O291" s="497"/>
      <c r="P291" s="497"/>
      <c r="Q291" s="498"/>
      <c r="R291" s="498"/>
      <c r="S291" s="497"/>
      <c r="T291" s="497"/>
      <c r="U291" s="497"/>
      <c r="V291" s="497"/>
    </row>
    <row r="292" spans="1:22" ht="15.75" x14ac:dyDescent="0.25">
      <c r="A292" s="499"/>
      <c r="B292" s="500"/>
      <c r="C292" s="497"/>
      <c r="D292" s="497"/>
      <c r="E292" s="497"/>
      <c r="F292" s="494"/>
      <c r="G292" s="494"/>
      <c r="H292" s="494"/>
      <c r="I292" s="497"/>
      <c r="J292" s="496"/>
      <c r="K292" s="496"/>
      <c r="L292" s="497"/>
      <c r="M292" s="497"/>
      <c r="N292" s="497"/>
      <c r="O292" s="497"/>
      <c r="P292" s="497"/>
      <c r="Q292" s="498"/>
      <c r="R292" s="498"/>
      <c r="S292" s="497"/>
      <c r="T292" s="497"/>
      <c r="U292" s="497"/>
      <c r="V292" s="497"/>
    </row>
    <row r="293" spans="1:22" ht="15.75" x14ac:dyDescent="0.25">
      <c r="A293" s="499"/>
    </row>
    <row r="294" spans="1:22" ht="15.75" x14ac:dyDescent="0.25">
      <c r="A294" s="499" t="s">
        <v>1089</v>
      </c>
      <c r="H294" s="502" t="s">
        <v>1090</v>
      </c>
    </row>
    <row r="295" spans="1:22" ht="15.75" x14ac:dyDescent="0.25">
      <c r="A295" s="499"/>
      <c r="F295" s="388"/>
      <c r="G295" s="388"/>
      <c r="H295" s="503"/>
    </row>
    <row r="296" spans="1:22" ht="15.75" x14ac:dyDescent="0.25">
      <c r="A296" s="499"/>
      <c r="F296" s="503"/>
      <c r="G296" s="388"/>
      <c r="H296" s="503"/>
    </row>
    <row r="297" spans="1:22" x14ac:dyDescent="0.2">
      <c r="F297" s="388"/>
      <c r="G297" s="388"/>
      <c r="H297" s="390"/>
    </row>
    <row r="300" spans="1:22" ht="15.75" x14ac:dyDescent="0.2">
      <c r="H300" s="504"/>
    </row>
    <row r="302" spans="1:22" x14ac:dyDescent="0.2">
      <c r="E302" s="505"/>
    </row>
    <row r="303" spans="1:22" x14ac:dyDescent="0.2">
      <c r="E303" s="505"/>
    </row>
    <row r="304" spans="1:22" x14ac:dyDescent="0.2">
      <c r="E304" s="505"/>
      <c r="F304" s="396"/>
      <c r="G304" s="396"/>
      <c r="H304" s="396"/>
    </row>
    <row r="305" spans="5:10" x14ac:dyDescent="0.2">
      <c r="E305" s="505"/>
    </row>
    <row r="306" spans="5:10" x14ac:dyDescent="0.2">
      <c r="E306" s="505"/>
    </row>
    <row r="307" spans="5:10" x14ac:dyDescent="0.2">
      <c r="E307" s="505"/>
    </row>
    <row r="308" spans="5:10" x14ac:dyDescent="0.2">
      <c r="E308" s="505"/>
    </row>
    <row r="309" spans="5:10" x14ac:dyDescent="0.2">
      <c r="E309" s="505"/>
    </row>
    <row r="310" spans="5:10" x14ac:dyDescent="0.2">
      <c r="E310" s="505"/>
    </row>
    <row r="311" spans="5:10" x14ac:dyDescent="0.2">
      <c r="E311" s="505"/>
    </row>
    <row r="312" spans="5:10" x14ac:dyDescent="0.2">
      <c r="E312" s="505"/>
    </row>
    <row r="313" spans="5:10" x14ac:dyDescent="0.2">
      <c r="E313" s="505"/>
    </row>
    <row r="314" spans="5:10" x14ac:dyDescent="0.2">
      <c r="E314" s="505"/>
      <c r="I314" s="389"/>
      <c r="J314" s="389"/>
    </row>
    <row r="315" spans="5:10" x14ac:dyDescent="0.2">
      <c r="E315" s="505"/>
    </row>
    <row r="316" spans="5:10" x14ac:dyDescent="0.2">
      <c r="E316" s="505"/>
    </row>
    <row r="317" spans="5:10" x14ac:dyDescent="0.2">
      <c r="E317" s="505"/>
    </row>
    <row r="318" spans="5:10" x14ac:dyDescent="0.2">
      <c r="E318" s="505"/>
    </row>
    <row r="319" spans="5:10" x14ac:dyDescent="0.2">
      <c r="E319" s="505"/>
    </row>
    <row r="320" spans="5:10" x14ac:dyDescent="0.2">
      <c r="E320" s="505"/>
    </row>
    <row r="321" spans="5:5" x14ac:dyDescent="0.2">
      <c r="E321" s="505"/>
    </row>
    <row r="322" spans="5:5" x14ac:dyDescent="0.2">
      <c r="E322" s="505"/>
    </row>
    <row r="323" spans="5:5" x14ac:dyDescent="0.2">
      <c r="E323" s="505"/>
    </row>
    <row r="324" spans="5:5" x14ac:dyDescent="0.2">
      <c r="E324" s="505"/>
    </row>
  </sheetData>
  <mergeCells count="9">
    <mergeCell ref="A8:H8"/>
    <mergeCell ref="A10:A12"/>
    <mergeCell ref="B10:B12"/>
    <mergeCell ref="C10:C12"/>
    <mergeCell ref="D10:D12"/>
    <mergeCell ref="E10:E12"/>
    <mergeCell ref="F10:F12"/>
    <mergeCell ref="G10:G12"/>
    <mergeCell ref="H10:H12"/>
  </mergeCells>
  <pageMargins left="0.7" right="0.7" top="0.75" bottom="0.75" header="0.3" footer="0.3"/>
  <pageSetup paperSize="9" scale="27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7"/>
  <sheetViews>
    <sheetView workbookViewId="0">
      <selection sqref="A1:I17"/>
    </sheetView>
  </sheetViews>
  <sheetFormatPr defaultRowHeight="12.75" x14ac:dyDescent="0.2"/>
  <cols>
    <col min="1" max="1" width="48.5" style="506" customWidth="1"/>
    <col min="2" max="2" width="8.6640625" style="506" customWidth="1"/>
    <col min="3" max="3" width="8.1640625" style="506" customWidth="1"/>
    <col min="4" max="4" width="14.1640625" style="506" customWidth="1"/>
    <col min="5" max="5" width="5.33203125" style="506" customWidth="1"/>
    <col min="6" max="6" width="7" style="506" customWidth="1"/>
    <col min="7" max="7" width="10.33203125" style="506" customWidth="1"/>
    <col min="8" max="8" width="16.1640625" style="506" customWidth="1"/>
    <col min="9" max="9" width="20.6640625" style="506" customWidth="1"/>
    <col min="10" max="256" width="9.33203125" style="506"/>
    <col min="257" max="257" width="48.5" style="506" customWidth="1"/>
    <col min="258" max="258" width="8.6640625" style="506" customWidth="1"/>
    <col min="259" max="259" width="8.1640625" style="506" customWidth="1"/>
    <col min="260" max="260" width="14.1640625" style="506" customWidth="1"/>
    <col min="261" max="261" width="5.33203125" style="506" customWidth="1"/>
    <col min="262" max="262" width="7" style="506" customWidth="1"/>
    <col min="263" max="263" width="10.33203125" style="506" customWidth="1"/>
    <col min="264" max="264" width="16.1640625" style="506" customWidth="1"/>
    <col min="265" max="265" width="20.6640625" style="506" customWidth="1"/>
    <col min="266" max="512" width="9.33203125" style="506"/>
    <col min="513" max="513" width="48.5" style="506" customWidth="1"/>
    <col min="514" max="514" width="8.6640625" style="506" customWidth="1"/>
    <col min="515" max="515" width="8.1640625" style="506" customWidth="1"/>
    <col min="516" max="516" width="14.1640625" style="506" customWidth="1"/>
    <col min="517" max="517" width="5.33203125" style="506" customWidth="1"/>
    <col min="518" max="518" width="7" style="506" customWidth="1"/>
    <col min="519" max="519" width="10.33203125" style="506" customWidth="1"/>
    <col min="520" max="520" width="16.1640625" style="506" customWidth="1"/>
    <col min="521" max="521" width="20.6640625" style="506" customWidth="1"/>
    <col min="522" max="768" width="9.33203125" style="506"/>
    <col min="769" max="769" width="48.5" style="506" customWidth="1"/>
    <col min="770" max="770" width="8.6640625" style="506" customWidth="1"/>
    <col min="771" max="771" width="8.1640625" style="506" customWidth="1"/>
    <col min="772" max="772" width="14.1640625" style="506" customWidth="1"/>
    <col min="773" max="773" width="5.33203125" style="506" customWidth="1"/>
    <col min="774" max="774" width="7" style="506" customWidth="1"/>
    <col min="775" max="775" width="10.33203125" style="506" customWidth="1"/>
    <col min="776" max="776" width="16.1640625" style="506" customWidth="1"/>
    <col min="777" max="777" width="20.6640625" style="506" customWidth="1"/>
    <col min="778" max="1024" width="9.33203125" style="506"/>
    <col min="1025" max="1025" width="48.5" style="506" customWidth="1"/>
    <col min="1026" max="1026" width="8.6640625" style="506" customWidth="1"/>
    <col min="1027" max="1027" width="8.1640625" style="506" customWidth="1"/>
    <col min="1028" max="1028" width="14.1640625" style="506" customWidth="1"/>
    <col min="1029" max="1029" width="5.33203125" style="506" customWidth="1"/>
    <col min="1030" max="1030" width="7" style="506" customWidth="1"/>
    <col min="1031" max="1031" width="10.33203125" style="506" customWidth="1"/>
    <col min="1032" max="1032" width="16.1640625" style="506" customWidth="1"/>
    <col min="1033" max="1033" width="20.6640625" style="506" customWidth="1"/>
    <col min="1034" max="1280" width="9.33203125" style="506"/>
    <col min="1281" max="1281" width="48.5" style="506" customWidth="1"/>
    <col min="1282" max="1282" width="8.6640625" style="506" customWidth="1"/>
    <col min="1283" max="1283" width="8.1640625" style="506" customWidth="1"/>
    <col min="1284" max="1284" width="14.1640625" style="506" customWidth="1"/>
    <col min="1285" max="1285" width="5.33203125" style="506" customWidth="1"/>
    <col min="1286" max="1286" width="7" style="506" customWidth="1"/>
    <col min="1287" max="1287" width="10.33203125" style="506" customWidth="1"/>
    <col min="1288" max="1288" width="16.1640625" style="506" customWidth="1"/>
    <col min="1289" max="1289" width="20.6640625" style="506" customWidth="1"/>
    <col min="1290" max="1536" width="9.33203125" style="506"/>
    <col min="1537" max="1537" width="48.5" style="506" customWidth="1"/>
    <col min="1538" max="1538" width="8.6640625" style="506" customWidth="1"/>
    <col min="1539" max="1539" width="8.1640625" style="506" customWidth="1"/>
    <col min="1540" max="1540" width="14.1640625" style="506" customWidth="1"/>
    <col min="1541" max="1541" width="5.33203125" style="506" customWidth="1"/>
    <col min="1542" max="1542" width="7" style="506" customWidth="1"/>
    <col min="1543" max="1543" width="10.33203125" style="506" customWidth="1"/>
    <col min="1544" max="1544" width="16.1640625" style="506" customWidth="1"/>
    <col min="1545" max="1545" width="20.6640625" style="506" customWidth="1"/>
    <col min="1546" max="1792" width="9.33203125" style="506"/>
    <col min="1793" max="1793" width="48.5" style="506" customWidth="1"/>
    <col min="1794" max="1794" width="8.6640625" style="506" customWidth="1"/>
    <col min="1795" max="1795" width="8.1640625" style="506" customWidth="1"/>
    <col min="1796" max="1796" width="14.1640625" style="506" customWidth="1"/>
    <col min="1797" max="1797" width="5.33203125" style="506" customWidth="1"/>
    <col min="1798" max="1798" width="7" style="506" customWidth="1"/>
    <col min="1799" max="1799" width="10.33203125" style="506" customWidth="1"/>
    <col min="1800" max="1800" width="16.1640625" style="506" customWidth="1"/>
    <col min="1801" max="1801" width="20.6640625" style="506" customWidth="1"/>
    <col min="1802" max="2048" width="9.33203125" style="506"/>
    <col min="2049" max="2049" width="48.5" style="506" customWidth="1"/>
    <col min="2050" max="2050" width="8.6640625" style="506" customWidth="1"/>
    <col min="2051" max="2051" width="8.1640625" style="506" customWidth="1"/>
    <col min="2052" max="2052" width="14.1640625" style="506" customWidth="1"/>
    <col min="2053" max="2053" width="5.33203125" style="506" customWidth="1"/>
    <col min="2054" max="2054" width="7" style="506" customWidth="1"/>
    <col min="2055" max="2055" width="10.33203125" style="506" customWidth="1"/>
    <col min="2056" max="2056" width="16.1640625" style="506" customWidth="1"/>
    <col min="2057" max="2057" width="20.6640625" style="506" customWidth="1"/>
    <col min="2058" max="2304" width="9.33203125" style="506"/>
    <col min="2305" max="2305" width="48.5" style="506" customWidth="1"/>
    <col min="2306" max="2306" width="8.6640625" style="506" customWidth="1"/>
    <col min="2307" max="2307" width="8.1640625" style="506" customWidth="1"/>
    <col min="2308" max="2308" width="14.1640625" style="506" customWidth="1"/>
    <col min="2309" max="2309" width="5.33203125" style="506" customWidth="1"/>
    <col min="2310" max="2310" width="7" style="506" customWidth="1"/>
    <col min="2311" max="2311" width="10.33203125" style="506" customWidth="1"/>
    <col min="2312" max="2312" width="16.1640625" style="506" customWidth="1"/>
    <col min="2313" max="2313" width="20.6640625" style="506" customWidth="1"/>
    <col min="2314" max="2560" width="9.33203125" style="506"/>
    <col min="2561" max="2561" width="48.5" style="506" customWidth="1"/>
    <col min="2562" max="2562" width="8.6640625" style="506" customWidth="1"/>
    <col min="2563" max="2563" width="8.1640625" style="506" customWidth="1"/>
    <col min="2564" max="2564" width="14.1640625" style="506" customWidth="1"/>
    <col min="2565" max="2565" width="5.33203125" style="506" customWidth="1"/>
    <col min="2566" max="2566" width="7" style="506" customWidth="1"/>
    <col min="2567" max="2567" width="10.33203125" style="506" customWidth="1"/>
    <col min="2568" max="2568" width="16.1640625" style="506" customWidth="1"/>
    <col min="2569" max="2569" width="20.6640625" style="506" customWidth="1"/>
    <col min="2570" max="2816" width="9.33203125" style="506"/>
    <col min="2817" max="2817" width="48.5" style="506" customWidth="1"/>
    <col min="2818" max="2818" width="8.6640625" style="506" customWidth="1"/>
    <col min="2819" max="2819" width="8.1640625" style="506" customWidth="1"/>
    <col min="2820" max="2820" width="14.1640625" style="506" customWidth="1"/>
    <col min="2821" max="2821" width="5.33203125" style="506" customWidth="1"/>
    <col min="2822" max="2822" width="7" style="506" customWidth="1"/>
    <col min="2823" max="2823" width="10.33203125" style="506" customWidth="1"/>
    <col min="2824" max="2824" width="16.1640625" style="506" customWidth="1"/>
    <col min="2825" max="2825" width="20.6640625" style="506" customWidth="1"/>
    <col min="2826" max="3072" width="9.33203125" style="506"/>
    <col min="3073" max="3073" width="48.5" style="506" customWidth="1"/>
    <col min="3074" max="3074" width="8.6640625" style="506" customWidth="1"/>
    <col min="3075" max="3075" width="8.1640625" style="506" customWidth="1"/>
    <col min="3076" max="3076" width="14.1640625" style="506" customWidth="1"/>
    <col min="3077" max="3077" width="5.33203125" style="506" customWidth="1"/>
    <col min="3078" max="3078" width="7" style="506" customWidth="1"/>
    <col min="3079" max="3079" width="10.33203125" style="506" customWidth="1"/>
    <col min="3080" max="3080" width="16.1640625" style="506" customWidth="1"/>
    <col min="3081" max="3081" width="20.6640625" style="506" customWidth="1"/>
    <col min="3082" max="3328" width="9.33203125" style="506"/>
    <col min="3329" max="3329" width="48.5" style="506" customWidth="1"/>
    <col min="3330" max="3330" width="8.6640625" style="506" customWidth="1"/>
    <col min="3331" max="3331" width="8.1640625" style="506" customWidth="1"/>
    <col min="3332" max="3332" width="14.1640625" style="506" customWidth="1"/>
    <col min="3333" max="3333" width="5.33203125" style="506" customWidth="1"/>
    <col min="3334" max="3334" width="7" style="506" customWidth="1"/>
    <col min="3335" max="3335" width="10.33203125" style="506" customWidth="1"/>
    <col min="3336" max="3336" width="16.1640625" style="506" customWidth="1"/>
    <col min="3337" max="3337" width="20.6640625" style="506" customWidth="1"/>
    <col min="3338" max="3584" width="9.33203125" style="506"/>
    <col min="3585" max="3585" width="48.5" style="506" customWidth="1"/>
    <col min="3586" max="3586" width="8.6640625" style="506" customWidth="1"/>
    <col min="3587" max="3587" width="8.1640625" style="506" customWidth="1"/>
    <col min="3588" max="3588" width="14.1640625" style="506" customWidth="1"/>
    <col min="3589" max="3589" width="5.33203125" style="506" customWidth="1"/>
    <col min="3590" max="3590" width="7" style="506" customWidth="1"/>
    <col min="3591" max="3591" width="10.33203125" style="506" customWidth="1"/>
    <col min="3592" max="3592" width="16.1640625" style="506" customWidth="1"/>
    <col min="3593" max="3593" width="20.6640625" style="506" customWidth="1"/>
    <col min="3594" max="3840" width="9.33203125" style="506"/>
    <col min="3841" max="3841" width="48.5" style="506" customWidth="1"/>
    <col min="3842" max="3842" width="8.6640625" style="506" customWidth="1"/>
    <col min="3843" max="3843" width="8.1640625" style="506" customWidth="1"/>
    <col min="3844" max="3844" width="14.1640625" style="506" customWidth="1"/>
    <col min="3845" max="3845" width="5.33203125" style="506" customWidth="1"/>
    <col min="3846" max="3846" width="7" style="506" customWidth="1"/>
    <col min="3847" max="3847" width="10.33203125" style="506" customWidth="1"/>
    <col min="3848" max="3848" width="16.1640625" style="506" customWidth="1"/>
    <col min="3849" max="3849" width="20.6640625" style="506" customWidth="1"/>
    <col min="3850" max="4096" width="9.33203125" style="506"/>
    <col min="4097" max="4097" width="48.5" style="506" customWidth="1"/>
    <col min="4098" max="4098" width="8.6640625" style="506" customWidth="1"/>
    <col min="4099" max="4099" width="8.1640625" style="506" customWidth="1"/>
    <col min="4100" max="4100" width="14.1640625" style="506" customWidth="1"/>
    <col min="4101" max="4101" width="5.33203125" style="506" customWidth="1"/>
    <col min="4102" max="4102" width="7" style="506" customWidth="1"/>
    <col min="4103" max="4103" width="10.33203125" style="506" customWidth="1"/>
    <col min="4104" max="4104" width="16.1640625" style="506" customWidth="1"/>
    <col min="4105" max="4105" width="20.6640625" style="506" customWidth="1"/>
    <col min="4106" max="4352" width="9.33203125" style="506"/>
    <col min="4353" max="4353" width="48.5" style="506" customWidth="1"/>
    <col min="4354" max="4354" width="8.6640625" style="506" customWidth="1"/>
    <col min="4355" max="4355" width="8.1640625" style="506" customWidth="1"/>
    <col min="4356" max="4356" width="14.1640625" style="506" customWidth="1"/>
    <col min="4357" max="4357" width="5.33203125" style="506" customWidth="1"/>
    <col min="4358" max="4358" width="7" style="506" customWidth="1"/>
    <col min="4359" max="4359" width="10.33203125" style="506" customWidth="1"/>
    <col min="4360" max="4360" width="16.1640625" style="506" customWidth="1"/>
    <col min="4361" max="4361" width="20.6640625" style="506" customWidth="1"/>
    <col min="4362" max="4608" width="9.33203125" style="506"/>
    <col min="4609" max="4609" width="48.5" style="506" customWidth="1"/>
    <col min="4610" max="4610" width="8.6640625" style="506" customWidth="1"/>
    <col min="4611" max="4611" width="8.1640625" style="506" customWidth="1"/>
    <col min="4612" max="4612" width="14.1640625" style="506" customWidth="1"/>
    <col min="4613" max="4613" width="5.33203125" style="506" customWidth="1"/>
    <col min="4614" max="4614" width="7" style="506" customWidth="1"/>
    <col min="4615" max="4615" width="10.33203125" style="506" customWidth="1"/>
    <col min="4616" max="4616" width="16.1640625" style="506" customWidth="1"/>
    <col min="4617" max="4617" width="20.6640625" style="506" customWidth="1"/>
    <col min="4618" max="4864" width="9.33203125" style="506"/>
    <col min="4865" max="4865" width="48.5" style="506" customWidth="1"/>
    <col min="4866" max="4866" width="8.6640625" style="506" customWidth="1"/>
    <col min="4867" max="4867" width="8.1640625" style="506" customWidth="1"/>
    <col min="4868" max="4868" width="14.1640625" style="506" customWidth="1"/>
    <col min="4869" max="4869" width="5.33203125" style="506" customWidth="1"/>
    <col min="4870" max="4870" width="7" style="506" customWidth="1"/>
    <col min="4871" max="4871" width="10.33203125" style="506" customWidth="1"/>
    <col min="4872" max="4872" width="16.1640625" style="506" customWidth="1"/>
    <col min="4873" max="4873" width="20.6640625" style="506" customWidth="1"/>
    <col min="4874" max="5120" width="9.33203125" style="506"/>
    <col min="5121" max="5121" width="48.5" style="506" customWidth="1"/>
    <col min="5122" max="5122" width="8.6640625" style="506" customWidth="1"/>
    <col min="5123" max="5123" width="8.1640625" style="506" customWidth="1"/>
    <col min="5124" max="5124" width="14.1640625" style="506" customWidth="1"/>
    <col min="5125" max="5125" width="5.33203125" style="506" customWidth="1"/>
    <col min="5126" max="5126" width="7" style="506" customWidth="1"/>
    <col min="5127" max="5127" width="10.33203125" style="506" customWidth="1"/>
    <col min="5128" max="5128" width="16.1640625" style="506" customWidth="1"/>
    <col min="5129" max="5129" width="20.6640625" style="506" customWidth="1"/>
    <col min="5130" max="5376" width="9.33203125" style="506"/>
    <col min="5377" max="5377" width="48.5" style="506" customWidth="1"/>
    <col min="5378" max="5378" width="8.6640625" style="506" customWidth="1"/>
    <col min="5379" max="5379" width="8.1640625" style="506" customWidth="1"/>
    <col min="5380" max="5380" width="14.1640625" style="506" customWidth="1"/>
    <col min="5381" max="5381" width="5.33203125" style="506" customWidth="1"/>
    <col min="5382" max="5382" width="7" style="506" customWidth="1"/>
    <col min="5383" max="5383" width="10.33203125" style="506" customWidth="1"/>
    <col min="5384" max="5384" width="16.1640625" style="506" customWidth="1"/>
    <col min="5385" max="5385" width="20.6640625" style="506" customWidth="1"/>
    <col min="5386" max="5632" width="9.33203125" style="506"/>
    <col min="5633" max="5633" width="48.5" style="506" customWidth="1"/>
    <col min="5634" max="5634" width="8.6640625" style="506" customWidth="1"/>
    <col min="5635" max="5635" width="8.1640625" style="506" customWidth="1"/>
    <col min="5636" max="5636" width="14.1640625" style="506" customWidth="1"/>
    <col min="5637" max="5637" width="5.33203125" style="506" customWidth="1"/>
    <col min="5638" max="5638" width="7" style="506" customWidth="1"/>
    <col min="5639" max="5639" width="10.33203125" style="506" customWidth="1"/>
    <col min="5640" max="5640" width="16.1640625" style="506" customWidth="1"/>
    <col min="5641" max="5641" width="20.6640625" style="506" customWidth="1"/>
    <col min="5642" max="5888" width="9.33203125" style="506"/>
    <col min="5889" max="5889" width="48.5" style="506" customWidth="1"/>
    <col min="5890" max="5890" width="8.6640625" style="506" customWidth="1"/>
    <col min="5891" max="5891" width="8.1640625" style="506" customWidth="1"/>
    <col min="5892" max="5892" width="14.1640625" style="506" customWidth="1"/>
    <col min="5893" max="5893" width="5.33203125" style="506" customWidth="1"/>
    <col min="5894" max="5894" width="7" style="506" customWidth="1"/>
    <col min="5895" max="5895" width="10.33203125" style="506" customWidth="1"/>
    <col min="5896" max="5896" width="16.1640625" style="506" customWidth="1"/>
    <col min="5897" max="5897" width="20.6640625" style="506" customWidth="1"/>
    <col min="5898" max="6144" width="9.33203125" style="506"/>
    <col min="6145" max="6145" width="48.5" style="506" customWidth="1"/>
    <col min="6146" max="6146" width="8.6640625" style="506" customWidth="1"/>
    <col min="6147" max="6147" width="8.1640625" style="506" customWidth="1"/>
    <col min="6148" max="6148" width="14.1640625" style="506" customWidth="1"/>
    <col min="6149" max="6149" width="5.33203125" style="506" customWidth="1"/>
    <col min="6150" max="6150" width="7" style="506" customWidth="1"/>
    <col min="6151" max="6151" width="10.33203125" style="506" customWidth="1"/>
    <col min="6152" max="6152" width="16.1640625" style="506" customWidth="1"/>
    <col min="6153" max="6153" width="20.6640625" style="506" customWidth="1"/>
    <col min="6154" max="6400" width="9.33203125" style="506"/>
    <col min="6401" max="6401" width="48.5" style="506" customWidth="1"/>
    <col min="6402" max="6402" width="8.6640625" style="506" customWidth="1"/>
    <col min="6403" max="6403" width="8.1640625" style="506" customWidth="1"/>
    <col min="6404" max="6404" width="14.1640625" style="506" customWidth="1"/>
    <col min="6405" max="6405" width="5.33203125" style="506" customWidth="1"/>
    <col min="6406" max="6406" width="7" style="506" customWidth="1"/>
    <col min="6407" max="6407" width="10.33203125" style="506" customWidth="1"/>
    <col min="6408" max="6408" width="16.1640625" style="506" customWidth="1"/>
    <col min="6409" max="6409" width="20.6640625" style="506" customWidth="1"/>
    <col min="6410" max="6656" width="9.33203125" style="506"/>
    <col min="6657" max="6657" width="48.5" style="506" customWidth="1"/>
    <col min="6658" max="6658" width="8.6640625" style="506" customWidth="1"/>
    <col min="6659" max="6659" width="8.1640625" style="506" customWidth="1"/>
    <col min="6660" max="6660" width="14.1640625" style="506" customWidth="1"/>
    <col min="6661" max="6661" width="5.33203125" style="506" customWidth="1"/>
    <col min="6662" max="6662" width="7" style="506" customWidth="1"/>
    <col min="6663" max="6663" width="10.33203125" style="506" customWidth="1"/>
    <col min="6664" max="6664" width="16.1640625" style="506" customWidth="1"/>
    <col min="6665" max="6665" width="20.6640625" style="506" customWidth="1"/>
    <col min="6666" max="6912" width="9.33203125" style="506"/>
    <col min="6913" max="6913" width="48.5" style="506" customWidth="1"/>
    <col min="6914" max="6914" width="8.6640625" style="506" customWidth="1"/>
    <col min="6915" max="6915" width="8.1640625" style="506" customWidth="1"/>
    <col min="6916" max="6916" width="14.1640625" style="506" customWidth="1"/>
    <col min="6917" max="6917" width="5.33203125" style="506" customWidth="1"/>
    <col min="6918" max="6918" width="7" style="506" customWidth="1"/>
    <col min="6919" max="6919" width="10.33203125" style="506" customWidth="1"/>
    <col min="6920" max="6920" width="16.1640625" style="506" customWidth="1"/>
    <col min="6921" max="6921" width="20.6640625" style="506" customWidth="1"/>
    <col min="6922" max="7168" width="9.33203125" style="506"/>
    <col min="7169" max="7169" width="48.5" style="506" customWidth="1"/>
    <col min="7170" max="7170" width="8.6640625" style="506" customWidth="1"/>
    <col min="7171" max="7171" width="8.1640625" style="506" customWidth="1"/>
    <col min="7172" max="7172" width="14.1640625" style="506" customWidth="1"/>
    <col min="7173" max="7173" width="5.33203125" style="506" customWidth="1"/>
    <col min="7174" max="7174" width="7" style="506" customWidth="1"/>
    <col min="7175" max="7175" width="10.33203125" style="506" customWidth="1"/>
    <col min="7176" max="7176" width="16.1640625" style="506" customWidth="1"/>
    <col min="7177" max="7177" width="20.6640625" style="506" customWidth="1"/>
    <col min="7178" max="7424" width="9.33203125" style="506"/>
    <col min="7425" max="7425" width="48.5" style="506" customWidth="1"/>
    <col min="7426" max="7426" width="8.6640625" style="506" customWidth="1"/>
    <col min="7427" max="7427" width="8.1640625" style="506" customWidth="1"/>
    <col min="7428" max="7428" width="14.1640625" style="506" customWidth="1"/>
    <col min="7429" max="7429" width="5.33203125" style="506" customWidth="1"/>
    <col min="7430" max="7430" width="7" style="506" customWidth="1"/>
    <col min="7431" max="7431" width="10.33203125" style="506" customWidth="1"/>
    <col min="7432" max="7432" width="16.1640625" style="506" customWidth="1"/>
    <col min="7433" max="7433" width="20.6640625" style="506" customWidth="1"/>
    <col min="7434" max="7680" width="9.33203125" style="506"/>
    <col min="7681" max="7681" width="48.5" style="506" customWidth="1"/>
    <col min="7682" max="7682" width="8.6640625" style="506" customWidth="1"/>
    <col min="7683" max="7683" width="8.1640625" style="506" customWidth="1"/>
    <col min="7684" max="7684" width="14.1640625" style="506" customWidth="1"/>
    <col min="7685" max="7685" width="5.33203125" style="506" customWidth="1"/>
    <col min="7686" max="7686" width="7" style="506" customWidth="1"/>
    <col min="7687" max="7687" width="10.33203125" style="506" customWidth="1"/>
    <col min="7688" max="7688" width="16.1640625" style="506" customWidth="1"/>
    <col min="7689" max="7689" width="20.6640625" style="506" customWidth="1"/>
    <col min="7690" max="7936" width="9.33203125" style="506"/>
    <col min="7937" max="7937" width="48.5" style="506" customWidth="1"/>
    <col min="7938" max="7938" width="8.6640625" style="506" customWidth="1"/>
    <col min="7939" max="7939" width="8.1640625" style="506" customWidth="1"/>
    <col min="7940" max="7940" width="14.1640625" style="506" customWidth="1"/>
    <col min="7941" max="7941" width="5.33203125" style="506" customWidth="1"/>
    <col min="7942" max="7942" width="7" style="506" customWidth="1"/>
    <col min="7943" max="7943" width="10.33203125" style="506" customWidth="1"/>
    <col min="7944" max="7944" width="16.1640625" style="506" customWidth="1"/>
    <col min="7945" max="7945" width="20.6640625" style="506" customWidth="1"/>
    <col min="7946" max="8192" width="9.33203125" style="506"/>
    <col min="8193" max="8193" width="48.5" style="506" customWidth="1"/>
    <col min="8194" max="8194" width="8.6640625" style="506" customWidth="1"/>
    <col min="8195" max="8195" width="8.1640625" style="506" customWidth="1"/>
    <col min="8196" max="8196" width="14.1640625" style="506" customWidth="1"/>
    <col min="8197" max="8197" width="5.33203125" style="506" customWidth="1"/>
    <col min="8198" max="8198" width="7" style="506" customWidth="1"/>
    <col min="8199" max="8199" width="10.33203125" style="506" customWidth="1"/>
    <col min="8200" max="8200" width="16.1640625" style="506" customWidth="1"/>
    <col min="8201" max="8201" width="20.6640625" style="506" customWidth="1"/>
    <col min="8202" max="8448" width="9.33203125" style="506"/>
    <col min="8449" max="8449" width="48.5" style="506" customWidth="1"/>
    <col min="8450" max="8450" width="8.6640625" style="506" customWidth="1"/>
    <col min="8451" max="8451" width="8.1640625" style="506" customWidth="1"/>
    <col min="8452" max="8452" width="14.1640625" style="506" customWidth="1"/>
    <col min="8453" max="8453" width="5.33203125" style="506" customWidth="1"/>
    <col min="8454" max="8454" width="7" style="506" customWidth="1"/>
    <col min="8455" max="8455" width="10.33203125" style="506" customWidth="1"/>
    <col min="8456" max="8456" width="16.1640625" style="506" customWidth="1"/>
    <col min="8457" max="8457" width="20.6640625" style="506" customWidth="1"/>
    <col min="8458" max="8704" width="9.33203125" style="506"/>
    <col min="8705" max="8705" width="48.5" style="506" customWidth="1"/>
    <col min="8706" max="8706" width="8.6640625" style="506" customWidth="1"/>
    <col min="8707" max="8707" width="8.1640625" style="506" customWidth="1"/>
    <col min="8708" max="8708" width="14.1640625" style="506" customWidth="1"/>
    <col min="8709" max="8709" width="5.33203125" style="506" customWidth="1"/>
    <col min="8710" max="8710" width="7" style="506" customWidth="1"/>
    <col min="8711" max="8711" width="10.33203125" style="506" customWidth="1"/>
    <col min="8712" max="8712" width="16.1640625" style="506" customWidth="1"/>
    <col min="8713" max="8713" width="20.6640625" style="506" customWidth="1"/>
    <col min="8714" max="8960" width="9.33203125" style="506"/>
    <col min="8961" max="8961" width="48.5" style="506" customWidth="1"/>
    <col min="8962" max="8962" width="8.6640625" style="506" customWidth="1"/>
    <col min="8963" max="8963" width="8.1640625" style="506" customWidth="1"/>
    <col min="8964" max="8964" width="14.1640625" style="506" customWidth="1"/>
    <col min="8965" max="8965" width="5.33203125" style="506" customWidth="1"/>
    <col min="8966" max="8966" width="7" style="506" customWidth="1"/>
    <col min="8967" max="8967" width="10.33203125" style="506" customWidth="1"/>
    <col min="8968" max="8968" width="16.1640625" style="506" customWidth="1"/>
    <col min="8969" max="8969" width="20.6640625" style="506" customWidth="1"/>
    <col min="8970" max="9216" width="9.33203125" style="506"/>
    <col min="9217" max="9217" width="48.5" style="506" customWidth="1"/>
    <col min="9218" max="9218" width="8.6640625" style="506" customWidth="1"/>
    <col min="9219" max="9219" width="8.1640625" style="506" customWidth="1"/>
    <col min="9220" max="9220" width="14.1640625" style="506" customWidth="1"/>
    <col min="9221" max="9221" width="5.33203125" style="506" customWidth="1"/>
    <col min="9222" max="9222" width="7" style="506" customWidth="1"/>
    <col min="9223" max="9223" width="10.33203125" style="506" customWidth="1"/>
    <col min="9224" max="9224" width="16.1640625" style="506" customWidth="1"/>
    <col min="9225" max="9225" width="20.6640625" style="506" customWidth="1"/>
    <col min="9226" max="9472" width="9.33203125" style="506"/>
    <col min="9473" max="9473" width="48.5" style="506" customWidth="1"/>
    <col min="9474" max="9474" width="8.6640625" style="506" customWidth="1"/>
    <col min="9475" max="9475" width="8.1640625" style="506" customWidth="1"/>
    <col min="9476" max="9476" width="14.1640625" style="506" customWidth="1"/>
    <col min="9477" max="9477" width="5.33203125" style="506" customWidth="1"/>
    <col min="9478" max="9478" width="7" style="506" customWidth="1"/>
    <col min="9479" max="9479" width="10.33203125" style="506" customWidth="1"/>
    <col min="9480" max="9480" width="16.1640625" style="506" customWidth="1"/>
    <col min="9481" max="9481" width="20.6640625" style="506" customWidth="1"/>
    <col min="9482" max="9728" width="9.33203125" style="506"/>
    <col min="9729" max="9729" width="48.5" style="506" customWidth="1"/>
    <col min="9730" max="9730" width="8.6640625" style="506" customWidth="1"/>
    <col min="9731" max="9731" width="8.1640625" style="506" customWidth="1"/>
    <col min="9732" max="9732" width="14.1640625" style="506" customWidth="1"/>
    <col min="9733" max="9733" width="5.33203125" style="506" customWidth="1"/>
    <col min="9734" max="9734" width="7" style="506" customWidth="1"/>
    <col min="9735" max="9735" width="10.33203125" style="506" customWidth="1"/>
    <col min="9736" max="9736" width="16.1640625" style="506" customWidth="1"/>
    <col min="9737" max="9737" width="20.6640625" style="506" customWidth="1"/>
    <col min="9738" max="9984" width="9.33203125" style="506"/>
    <col min="9985" max="9985" width="48.5" style="506" customWidth="1"/>
    <col min="9986" max="9986" width="8.6640625" style="506" customWidth="1"/>
    <col min="9987" max="9987" width="8.1640625" style="506" customWidth="1"/>
    <col min="9988" max="9988" width="14.1640625" style="506" customWidth="1"/>
    <col min="9989" max="9989" width="5.33203125" style="506" customWidth="1"/>
    <col min="9990" max="9990" width="7" style="506" customWidth="1"/>
    <col min="9991" max="9991" width="10.33203125" style="506" customWidth="1"/>
    <col min="9992" max="9992" width="16.1640625" style="506" customWidth="1"/>
    <col min="9993" max="9993" width="20.6640625" style="506" customWidth="1"/>
    <col min="9994" max="10240" width="9.33203125" style="506"/>
    <col min="10241" max="10241" width="48.5" style="506" customWidth="1"/>
    <col min="10242" max="10242" width="8.6640625" style="506" customWidth="1"/>
    <col min="10243" max="10243" width="8.1640625" style="506" customWidth="1"/>
    <col min="10244" max="10244" width="14.1640625" style="506" customWidth="1"/>
    <col min="10245" max="10245" width="5.33203125" style="506" customWidth="1"/>
    <col min="10246" max="10246" width="7" style="506" customWidth="1"/>
    <col min="10247" max="10247" width="10.33203125" style="506" customWidth="1"/>
    <col min="10248" max="10248" width="16.1640625" style="506" customWidth="1"/>
    <col min="10249" max="10249" width="20.6640625" style="506" customWidth="1"/>
    <col min="10250" max="10496" width="9.33203125" style="506"/>
    <col min="10497" max="10497" width="48.5" style="506" customWidth="1"/>
    <col min="10498" max="10498" width="8.6640625" style="506" customWidth="1"/>
    <col min="10499" max="10499" width="8.1640625" style="506" customWidth="1"/>
    <col min="10500" max="10500" width="14.1640625" style="506" customWidth="1"/>
    <col min="10501" max="10501" width="5.33203125" style="506" customWidth="1"/>
    <col min="10502" max="10502" width="7" style="506" customWidth="1"/>
    <col min="10503" max="10503" width="10.33203125" style="506" customWidth="1"/>
    <col min="10504" max="10504" width="16.1640625" style="506" customWidth="1"/>
    <col min="10505" max="10505" width="20.6640625" style="506" customWidth="1"/>
    <col min="10506" max="10752" width="9.33203125" style="506"/>
    <col min="10753" max="10753" width="48.5" style="506" customWidth="1"/>
    <col min="10754" max="10754" width="8.6640625" style="506" customWidth="1"/>
    <col min="10755" max="10755" width="8.1640625" style="506" customWidth="1"/>
    <col min="10756" max="10756" width="14.1640625" style="506" customWidth="1"/>
    <col min="10757" max="10757" width="5.33203125" style="506" customWidth="1"/>
    <col min="10758" max="10758" width="7" style="506" customWidth="1"/>
    <col min="10759" max="10759" width="10.33203125" style="506" customWidth="1"/>
    <col min="10760" max="10760" width="16.1640625" style="506" customWidth="1"/>
    <col min="10761" max="10761" width="20.6640625" style="506" customWidth="1"/>
    <col min="10762" max="11008" width="9.33203125" style="506"/>
    <col min="11009" max="11009" width="48.5" style="506" customWidth="1"/>
    <col min="11010" max="11010" width="8.6640625" style="506" customWidth="1"/>
    <col min="11011" max="11011" width="8.1640625" style="506" customWidth="1"/>
    <col min="11012" max="11012" width="14.1640625" style="506" customWidth="1"/>
    <col min="11013" max="11013" width="5.33203125" style="506" customWidth="1"/>
    <col min="11014" max="11014" width="7" style="506" customWidth="1"/>
    <col min="11015" max="11015" width="10.33203125" style="506" customWidth="1"/>
    <col min="11016" max="11016" width="16.1640625" style="506" customWidth="1"/>
    <col min="11017" max="11017" width="20.6640625" style="506" customWidth="1"/>
    <col min="11018" max="11264" width="9.33203125" style="506"/>
    <col min="11265" max="11265" width="48.5" style="506" customWidth="1"/>
    <col min="11266" max="11266" width="8.6640625" style="506" customWidth="1"/>
    <col min="11267" max="11267" width="8.1640625" style="506" customWidth="1"/>
    <col min="11268" max="11268" width="14.1640625" style="506" customWidth="1"/>
    <col min="11269" max="11269" width="5.33203125" style="506" customWidth="1"/>
    <col min="11270" max="11270" width="7" style="506" customWidth="1"/>
    <col min="11271" max="11271" width="10.33203125" style="506" customWidth="1"/>
    <col min="11272" max="11272" width="16.1640625" style="506" customWidth="1"/>
    <col min="11273" max="11273" width="20.6640625" style="506" customWidth="1"/>
    <col min="11274" max="11520" width="9.33203125" style="506"/>
    <col min="11521" max="11521" width="48.5" style="506" customWidth="1"/>
    <col min="11522" max="11522" width="8.6640625" style="506" customWidth="1"/>
    <col min="11523" max="11523" width="8.1640625" style="506" customWidth="1"/>
    <col min="11524" max="11524" width="14.1640625" style="506" customWidth="1"/>
    <col min="11525" max="11525" width="5.33203125" style="506" customWidth="1"/>
    <col min="11526" max="11526" width="7" style="506" customWidth="1"/>
    <col min="11527" max="11527" width="10.33203125" style="506" customWidth="1"/>
    <col min="11528" max="11528" width="16.1640625" style="506" customWidth="1"/>
    <col min="11529" max="11529" width="20.6640625" style="506" customWidth="1"/>
    <col min="11530" max="11776" width="9.33203125" style="506"/>
    <col min="11777" max="11777" width="48.5" style="506" customWidth="1"/>
    <col min="11778" max="11778" width="8.6640625" style="506" customWidth="1"/>
    <col min="11779" max="11779" width="8.1640625" style="506" customWidth="1"/>
    <col min="11780" max="11780" width="14.1640625" style="506" customWidth="1"/>
    <col min="11781" max="11781" width="5.33203125" style="506" customWidth="1"/>
    <col min="11782" max="11782" width="7" style="506" customWidth="1"/>
    <col min="11783" max="11783" width="10.33203125" style="506" customWidth="1"/>
    <col min="11784" max="11784" width="16.1640625" style="506" customWidth="1"/>
    <col min="11785" max="11785" width="20.6640625" style="506" customWidth="1"/>
    <col min="11786" max="12032" width="9.33203125" style="506"/>
    <col min="12033" max="12033" width="48.5" style="506" customWidth="1"/>
    <col min="12034" max="12034" width="8.6640625" style="506" customWidth="1"/>
    <col min="12035" max="12035" width="8.1640625" style="506" customWidth="1"/>
    <col min="12036" max="12036" width="14.1640625" style="506" customWidth="1"/>
    <col min="12037" max="12037" width="5.33203125" style="506" customWidth="1"/>
    <col min="12038" max="12038" width="7" style="506" customWidth="1"/>
    <col min="12039" max="12039" width="10.33203125" style="506" customWidth="1"/>
    <col min="12040" max="12040" width="16.1640625" style="506" customWidth="1"/>
    <col min="12041" max="12041" width="20.6640625" style="506" customWidth="1"/>
    <col min="12042" max="12288" width="9.33203125" style="506"/>
    <col min="12289" max="12289" width="48.5" style="506" customWidth="1"/>
    <col min="12290" max="12290" width="8.6640625" style="506" customWidth="1"/>
    <col min="12291" max="12291" width="8.1640625" style="506" customWidth="1"/>
    <col min="12292" max="12292" width="14.1640625" style="506" customWidth="1"/>
    <col min="12293" max="12293" width="5.33203125" style="506" customWidth="1"/>
    <col min="12294" max="12294" width="7" style="506" customWidth="1"/>
    <col min="12295" max="12295" width="10.33203125" style="506" customWidth="1"/>
    <col min="12296" max="12296" width="16.1640625" style="506" customWidth="1"/>
    <col min="12297" max="12297" width="20.6640625" style="506" customWidth="1"/>
    <col min="12298" max="12544" width="9.33203125" style="506"/>
    <col min="12545" max="12545" width="48.5" style="506" customWidth="1"/>
    <col min="12546" max="12546" width="8.6640625" style="506" customWidth="1"/>
    <col min="12547" max="12547" width="8.1640625" style="506" customWidth="1"/>
    <col min="12548" max="12548" width="14.1640625" style="506" customWidth="1"/>
    <col min="12549" max="12549" width="5.33203125" style="506" customWidth="1"/>
    <col min="12550" max="12550" width="7" style="506" customWidth="1"/>
    <col min="12551" max="12551" width="10.33203125" style="506" customWidth="1"/>
    <col min="12552" max="12552" width="16.1640625" style="506" customWidth="1"/>
    <col min="12553" max="12553" width="20.6640625" style="506" customWidth="1"/>
    <col min="12554" max="12800" width="9.33203125" style="506"/>
    <col min="12801" max="12801" width="48.5" style="506" customWidth="1"/>
    <col min="12802" max="12802" width="8.6640625" style="506" customWidth="1"/>
    <col min="12803" max="12803" width="8.1640625" style="506" customWidth="1"/>
    <col min="12804" max="12804" width="14.1640625" style="506" customWidth="1"/>
    <col min="12805" max="12805" width="5.33203125" style="506" customWidth="1"/>
    <col min="12806" max="12806" width="7" style="506" customWidth="1"/>
    <col min="12807" max="12807" width="10.33203125" style="506" customWidth="1"/>
    <col min="12808" max="12808" width="16.1640625" style="506" customWidth="1"/>
    <col min="12809" max="12809" width="20.6640625" style="506" customWidth="1"/>
    <col min="12810" max="13056" width="9.33203125" style="506"/>
    <col min="13057" max="13057" width="48.5" style="506" customWidth="1"/>
    <col min="13058" max="13058" width="8.6640625" style="506" customWidth="1"/>
    <col min="13059" max="13059" width="8.1640625" style="506" customWidth="1"/>
    <col min="13060" max="13060" width="14.1640625" style="506" customWidth="1"/>
    <col min="13061" max="13061" width="5.33203125" style="506" customWidth="1"/>
    <col min="13062" max="13062" width="7" style="506" customWidth="1"/>
    <col min="13063" max="13063" width="10.33203125" style="506" customWidth="1"/>
    <col min="13064" max="13064" width="16.1640625" style="506" customWidth="1"/>
    <col min="13065" max="13065" width="20.6640625" style="506" customWidth="1"/>
    <col min="13066" max="13312" width="9.33203125" style="506"/>
    <col min="13313" max="13313" width="48.5" style="506" customWidth="1"/>
    <col min="13314" max="13314" width="8.6640625" style="506" customWidth="1"/>
    <col min="13315" max="13315" width="8.1640625" style="506" customWidth="1"/>
    <col min="13316" max="13316" width="14.1640625" style="506" customWidth="1"/>
    <col min="13317" max="13317" width="5.33203125" style="506" customWidth="1"/>
    <col min="13318" max="13318" width="7" style="506" customWidth="1"/>
    <col min="13319" max="13319" width="10.33203125" style="506" customWidth="1"/>
    <col min="13320" max="13320" width="16.1640625" style="506" customWidth="1"/>
    <col min="13321" max="13321" width="20.6640625" style="506" customWidth="1"/>
    <col min="13322" max="13568" width="9.33203125" style="506"/>
    <col min="13569" max="13569" width="48.5" style="506" customWidth="1"/>
    <col min="13570" max="13570" width="8.6640625" style="506" customWidth="1"/>
    <col min="13571" max="13571" width="8.1640625" style="506" customWidth="1"/>
    <col min="13572" max="13572" width="14.1640625" style="506" customWidth="1"/>
    <col min="13573" max="13573" width="5.33203125" style="506" customWidth="1"/>
    <col min="13574" max="13574" width="7" style="506" customWidth="1"/>
    <col min="13575" max="13575" width="10.33203125" style="506" customWidth="1"/>
    <col min="13576" max="13576" width="16.1640625" style="506" customWidth="1"/>
    <col min="13577" max="13577" width="20.6640625" style="506" customWidth="1"/>
    <col min="13578" max="13824" width="9.33203125" style="506"/>
    <col min="13825" max="13825" width="48.5" style="506" customWidth="1"/>
    <col min="13826" max="13826" width="8.6640625" style="506" customWidth="1"/>
    <col min="13827" max="13827" width="8.1640625" style="506" customWidth="1"/>
    <col min="13828" max="13828" width="14.1640625" style="506" customWidth="1"/>
    <col min="13829" max="13829" width="5.33203125" style="506" customWidth="1"/>
    <col min="13830" max="13830" width="7" style="506" customWidth="1"/>
    <col min="13831" max="13831" width="10.33203125" style="506" customWidth="1"/>
    <col min="13832" max="13832" width="16.1640625" style="506" customWidth="1"/>
    <col min="13833" max="13833" width="20.6640625" style="506" customWidth="1"/>
    <col min="13834" max="14080" width="9.33203125" style="506"/>
    <col min="14081" max="14081" width="48.5" style="506" customWidth="1"/>
    <col min="14082" max="14082" width="8.6640625" style="506" customWidth="1"/>
    <col min="14083" max="14083" width="8.1640625" style="506" customWidth="1"/>
    <col min="14084" max="14084" width="14.1640625" style="506" customWidth="1"/>
    <col min="14085" max="14085" width="5.33203125" style="506" customWidth="1"/>
    <col min="14086" max="14086" width="7" style="506" customWidth="1"/>
    <col min="14087" max="14087" width="10.33203125" style="506" customWidth="1"/>
    <col min="14088" max="14088" width="16.1640625" style="506" customWidth="1"/>
    <col min="14089" max="14089" width="20.6640625" style="506" customWidth="1"/>
    <col min="14090" max="14336" width="9.33203125" style="506"/>
    <col min="14337" max="14337" width="48.5" style="506" customWidth="1"/>
    <col min="14338" max="14338" width="8.6640625" style="506" customWidth="1"/>
    <col min="14339" max="14339" width="8.1640625" style="506" customWidth="1"/>
    <col min="14340" max="14340" width="14.1640625" style="506" customWidth="1"/>
    <col min="14341" max="14341" width="5.33203125" style="506" customWidth="1"/>
    <col min="14342" max="14342" width="7" style="506" customWidth="1"/>
    <col min="14343" max="14343" width="10.33203125" style="506" customWidth="1"/>
    <col min="14344" max="14344" width="16.1640625" style="506" customWidth="1"/>
    <col min="14345" max="14345" width="20.6640625" style="506" customWidth="1"/>
    <col min="14346" max="14592" width="9.33203125" style="506"/>
    <col min="14593" max="14593" width="48.5" style="506" customWidth="1"/>
    <col min="14594" max="14594" width="8.6640625" style="506" customWidth="1"/>
    <col min="14595" max="14595" width="8.1640625" style="506" customWidth="1"/>
    <col min="14596" max="14596" width="14.1640625" style="506" customWidth="1"/>
    <col min="14597" max="14597" width="5.33203125" style="506" customWidth="1"/>
    <col min="14598" max="14598" width="7" style="506" customWidth="1"/>
    <col min="14599" max="14599" width="10.33203125" style="506" customWidth="1"/>
    <col min="14600" max="14600" width="16.1640625" style="506" customWidth="1"/>
    <col min="14601" max="14601" width="20.6640625" style="506" customWidth="1"/>
    <col min="14602" max="14848" width="9.33203125" style="506"/>
    <col min="14849" max="14849" width="48.5" style="506" customWidth="1"/>
    <col min="14850" max="14850" width="8.6640625" style="506" customWidth="1"/>
    <col min="14851" max="14851" width="8.1640625" style="506" customWidth="1"/>
    <col min="14852" max="14852" width="14.1640625" style="506" customWidth="1"/>
    <col min="14853" max="14853" width="5.33203125" style="506" customWidth="1"/>
    <col min="14854" max="14854" width="7" style="506" customWidth="1"/>
    <col min="14855" max="14855" width="10.33203125" style="506" customWidth="1"/>
    <col min="14856" max="14856" width="16.1640625" style="506" customWidth="1"/>
    <col min="14857" max="14857" width="20.6640625" style="506" customWidth="1"/>
    <col min="14858" max="15104" width="9.33203125" style="506"/>
    <col min="15105" max="15105" width="48.5" style="506" customWidth="1"/>
    <col min="15106" max="15106" width="8.6640625" style="506" customWidth="1"/>
    <col min="15107" max="15107" width="8.1640625" style="506" customWidth="1"/>
    <col min="15108" max="15108" width="14.1640625" style="506" customWidth="1"/>
    <col min="15109" max="15109" width="5.33203125" style="506" customWidth="1"/>
    <col min="15110" max="15110" width="7" style="506" customWidth="1"/>
    <col min="15111" max="15111" width="10.33203125" style="506" customWidth="1"/>
    <col min="15112" max="15112" width="16.1640625" style="506" customWidth="1"/>
    <col min="15113" max="15113" width="20.6640625" style="506" customWidth="1"/>
    <col min="15114" max="15360" width="9.33203125" style="506"/>
    <col min="15361" max="15361" width="48.5" style="506" customWidth="1"/>
    <col min="15362" max="15362" width="8.6640625" style="506" customWidth="1"/>
    <col min="15363" max="15363" width="8.1640625" style="506" customWidth="1"/>
    <col min="15364" max="15364" width="14.1640625" style="506" customWidth="1"/>
    <col min="15365" max="15365" width="5.33203125" style="506" customWidth="1"/>
    <col min="15366" max="15366" width="7" style="506" customWidth="1"/>
    <col min="15367" max="15367" width="10.33203125" style="506" customWidth="1"/>
    <col min="15368" max="15368" width="16.1640625" style="506" customWidth="1"/>
    <col min="15369" max="15369" width="20.6640625" style="506" customWidth="1"/>
    <col min="15370" max="15616" width="9.33203125" style="506"/>
    <col min="15617" max="15617" width="48.5" style="506" customWidth="1"/>
    <col min="15618" max="15618" width="8.6640625" style="506" customWidth="1"/>
    <col min="15619" max="15619" width="8.1640625" style="506" customWidth="1"/>
    <col min="15620" max="15620" width="14.1640625" style="506" customWidth="1"/>
    <col min="15621" max="15621" width="5.33203125" style="506" customWidth="1"/>
    <col min="15622" max="15622" width="7" style="506" customWidth="1"/>
    <col min="15623" max="15623" width="10.33203125" style="506" customWidth="1"/>
    <col min="15624" max="15624" width="16.1640625" style="506" customWidth="1"/>
    <col min="15625" max="15625" width="20.6640625" style="506" customWidth="1"/>
    <col min="15626" max="15872" width="9.33203125" style="506"/>
    <col min="15873" max="15873" width="48.5" style="506" customWidth="1"/>
    <col min="15874" max="15874" width="8.6640625" style="506" customWidth="1"/>
    <col min="15875" max="15875" width="8.1640625" style="506" customWidth="1"/>
    <col min="15876" max="15876" width="14.1640625" style="506" customWidth="1"/>
    <col min="15877" max="15877" width="5.33203125" style="506" customWidth="1"/>
    <col min="15878" max="15878" width="7" style="506" customWidth="1"/>
    <col min="15879" max="15879" width="10.33203125" style="506" customWidth="1"/>
    <col min="15880" max="15880" width="16.1640625" style="506" customWidth="1"/>
    <col min="15881" max="15881" width="20.6640625" style="506" customWidth="1"/>
    <col min="15882" max="16128" width="9.33203125" style="506"/>
    <col min="16129" max="16129" width="48.5" style="506" customWidth="1"/>
    <col min="16130" max="16130" width="8.6640625" style="506" customWidth="1"/>
    <col min="16131" max="16131" width="8.1640625" style="506" customWidth="1"/>
    <col min="16132" max="16132" width="14.1640625" style="506" customWidth="1"/>
    <col min="16133" max="16133" width="5.33203125" style="506" customWidth="1"/>
    <col min="16134" max="16134" width="7" style="506" customWidth="1"/>
    <col min="16135" max="16135" width="10.33203125" style="506" customWidth="1"/>
    <col min="16136" max="16136" width="16.1640625" style="506" customWidth="1"/>
    <col min="16137" max="16137" width="20.6640625" style="506" customWidth="1"/>
    <col min="16138" max="16384" width="9.33203125" style="506"/>
  </cols>
  <sheetData>
    <row r="2" spans="1:11" ht="15.75" x14ac:dyDescent="0.2">
      <c r="H2" s="597" t="s">
        <v>1092</v>
      </c>
      <c r="I2" s="597"/>
      <c r="J2" s="507"/>
      <c r="K2" s="508"/>
    </row>
    <row r="3" spans="1:11" ht="15.75" x14ac:dyDescent="0.2">
      <c r="H3" s="598" t="s">
        <v>849</v>
      </c>
      <c r="I3" s="598"/>
      <c r="J3" s="509"/>
      <c r="K3" s="510"/>
    </row>
    <row r="4" spans="1:11" ht="15.75" hidden="1" x14ac:dyDescent="0.25">
      <c r="H4" s="511"/>
      <c r="I4" s="511" t="s">
        <v>695</v>
      </c>
      <c r="J4" s="512"/>
      <c r="K4" s="512"/>
    </row>
    <row r="5" spans="1:11" ht="15" x14ac:dyDescent="0.25">
      <c r="H5" s="513"/>
      <c r="I5" s="513" t="s">
        <v>1124</v>
      </c>
    </row>
    <row r="6" spans="1:11" x14ac:dyDescent="0.2">
      <c r="I6" s="506" t="s">
        <v>1119</v>
      </c>
    </row>
    <row r="7" spans="1:11" s="514" customFormat="1" ht="12.75" customHeight="1" x14ac:dyDescent="0.2">
      <c r="A7" s="599" t="s">
        <v>1093</v>
      </c>
      <c r="B7" s="599"/>
      <c r="C7" s="599"/>
      <c r="D7" s="599"/>
      <c r="E7" s="599"/>
      <c r="F7" s="599"/>
      <c r="G7" s="599"/>
      <c r="H7" s="599"/>
      <c r="I7" s="599"/>
    </row>
    <row r="8" spans="1:11" s="515" customFormat="1" x14ac:dyDescent="0.2">
      <c r="A8" s="599"/>
      <c r="B8" s="599"/>
      <c r="C8" s="599"/>
      <c r="D8" s="599"/>
      <c r="E8" s="599"/>
      <c r="F8" s="599"/>
      <c r="G8" s="599"/>
      <c r="H8" s="599"/>
      <c r="I8" s="599"/>
    </row>
    <row r="10" spans="1:11" s="516" customFormat="1" x14ac:dyDescent="0.2">
      <c r="A10" s="600" t="s">
        <v>143</v>
      </c>
      <c r="B10" s="601" t="s">
        <v>144</v>
      </c>
      <c r="C10" s="602" t="s">
        <v>145</v>
      </c>
      <c r="D10" s="602" t="s">
        <v>146</v>
      </c>
      <c r="E10" s="603" t="s">
        <v>147</v>
      </c>
      <c r="F10" s="602" t="s">
        <v>148</v>
      </c>
      <c r="G10" s="602" t="s">
        <v>149</v>
      </c>
      <c r="H10" s="595" t="s">
        <v>1094</v>
      </c>
      <c r="I10" s="596" t="s">
        <v>1095</v>
      </c>
    </row>
    <row r="11" spans="1:11" s="517" customFormat="1" ht="56.25" customHeight="1" x14ac:dyDescent="0.2">
      <c r="A11" s="600"/>
      <c r="B11" s="601"/>
      <c r="C11" s="602"/>
      <c r="D11" s="602"/>
      <c r="E11" s="603"/>
      <c r="F11" s="602"/>
      <c r="G11" s="602"/>
      <c r="H11" s="595"/>
      <c r="I11" s="596"/>
    </row>
    <row r="12" spans="1:11" s="514" customFormat="1" ht="63.75" x14ac:dyDescent="0.2">
      <c r="A12" s="518" t="s">
        <v>1096</v>
      </c>
      <c r="B12" s="519" t="s">
        <v>289</v>
      </c>
      <c r="C12" s="519" t="s">
        <v>450</v>
      </c>
      <c r="D12" s="520" t="s">
        <v>167</v>
      </c>
      <c r="E12" s="521" t="s">
        <v>196</v>
      </c>
      <c r="F12" s="522" t="s">
        <v>168</v>
      </c>
      <c r="G12" s="523"/>
      <c r="H12" s="524">
        <f>SUM(H13:H16)</f>
        <v>50278521.299999997</v>
      </c>
      <c r="I12" s="524">
        <f>SUM(I14:I14)</f>
        <v>412220</v>
      </c>
    </row>
    <row r="13" spans="1:11" s="514" customFormat="1" x14ac:dyDescent="0.2">
      <c r="A13" s="525" t="s">
        <v>421</v>
      </c>
      <c r="B13" s="519"/>
      <c r="C13" s="519"/>
      <c r="D13" s="520"/>
      <c r="E13" s="521"/>
      <c r="F13" s="522"/>
      <c r="G13" s="523"/>
      <c r="H13" s="526">
        <v>5786.5</v>
      </c>
      <c r="I13" s="524"/>
    </row>
    <row r="14" spans="1:11" x14ac:dyDescent="0.2">
      <c r="A14" s="525" t="s">
        <v>1097</v>
      </c>
      <c r="B14" s="523"/>
      <c r="C14" s="527"/>
      <c r="D14" s="528" t="s">
        <v>1098</v>
      </c>
      <c r="E14" s="529" t="s">
        <v>196</v>
      </c>
      <c r="F14" s="527" t="s">
        <v>246</v>
      </c>
      <c r="G14" s="527" t="s">
        <v>342</v>
      </c>
      <c r="H14" s="526">
        <v>412220</v>
      </c>
      <c r="I14" s="530">
        <v>412220</v>
      </c>
    </row>
    <row r="15" spans="1:11" ht="25.5" x14ac:dyDescent="0.2">
      <c r="A15" s="525" t="s">
        <v>682</v>
      </c>
      <c r="B15" s="531"/>
      <c r="C15" s="531"/>
      <c r="D15" s="528" t="s">
        <v>1098</v>
      </c>
      <c r="E15" s="532">
        <v>244</v>
      </c>
      <c r="F15" s="532">
        <v>225</v>
      </c>
      <c r="G15" s="532">
        <v>9000</v>
      </c>
      <c r="H15" s="530">
        <f>11191114.8+38529400</f>
        <v>49720514.799999997</v>
      </c>
      <c r="I15" s="530">
        <v>0</v>
      </c>
    </row>
    <row r="16" spans="1:11" ht="38.25" x14ac:dyDescent="0.2">
      <c r="A16" s="533" t="s">
        <v>683</v>
      </c>
      <c r="B16" s="531"/>
      <c r="C16" s="531"/>
      <c r="D16" s="528"/>
      <c r="E16" s="531"/>
      <c r="F16" s="531"/>
      <c r="G16" s="531"/>
      <c r="H16" s="530">
        <v>140000</v>
      </c>
      <c r="I16" s="530"/>
    </row>
    <row r="17" spans="1:9" x14ac:dyDescent="0.2">
      <c r="A17" s="534"/>
      <c r="B17" s="535"/>
      <c r="C17" s="535"/>
      <c r="D17" s="536"/>
      <c r="E17" s="535"/>
      <c r="F17" s="535"/>
      <c r="G17" s="535"/>
      <c r="H17" s="537"/>
      <c r="I17" s="537"/>
    </row>
  </sheetData>
  <mergeCells count="12">
    <mergeCell ref="H10:H11"/>
    <mergeCell ref="I10:I11"/>
    <mergeCell ref="H2:I2"/>
    <mergeCell ref="H3:I3"/>
    <mergeCell ref="A7:I8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62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3"/>
  <sheetViews>
    <sheetView workbookViewId="0">
      <selection sqref="A1:G30"/>
    </sheetView>
  </sheetViews>
  <sheetFormatPr defaultRowHeight="12.75" x14ac:dyDescent="0.2"/>
  <cols>
    <col min="1" max="1" width="12" style="544" customWidth="1"/>
    <col min="2" max="2" width="60.33203125" style="307" customWidth="1"/>
    <col min="3" max="3" width="46.6640625" style="545" customWidth="1"/>
    <col min="4" max="4" width="16" style="307" hidden="1" customWidth="1"/>
    <col min="5" max="5" width="13.33203125" style="307" hidden="1" customWidth="1"/>
    <col min="6" max="6" width="24.1640625" style="307" customWidth="1"/>
    <col min="7" max="7" width="15.83203125" style="307" bestFit="1" customWidth="1"/>
    <col min="8" max="9" width="14.5" style="307" bestFit="1" customWidth="1"/>
    <col min="10" max="16384" width="9.33203125" style="307"/>
  </cols>
  <sheetData>
    <row r="2" spans="1:8" ht="15.75" x14ac:dyDescent="0.2">
      <c r="A2" s="538"/>
      <c r="B2" s="539"/>
      <c r="C2" s="540" t="s">
        <v>1099</v>
      </c>
    </row>
    <row r="3" spans="1:8" ht="15.75" x14ac:dyDescent="0.2">
      <c r="A3" s="538"/>
      <c r="B3" s="539"/>
      <c r="C3" s="540" t="s">
        <v>849</v>
      </c>
    </row>
    <row r="4" spans="1:8" ht="15.75" x14ac:dyDescent="0.2">
      <c r="A4" s="538"/>
      <c r="B4" s="539"/>
      <c r="C4" s="540"/>
    </row>
    <row r="5" spans="1:8" ht="15.75" x14ac:dyDescent="0.2">
      <c r="A5" s="538"/>
      <c r="B5" s="539"/>
      <c r="C5" s="541" t="s">
        <v>1125</v>
      </c>
    </row>
    <row r="6" spans="1:8" ht="15.75" x14ac:dyDescent="0.2">
      <c r="A6" s="604" t="s">
        <v>1100</v>
      </c>
      <c r="B6" s="604"/>
      <c r="C6" s="604"/>
      <c r="D6" s="341"/>
      <c r="E6" s="341"/>
      <c r="F6" s="341"/>
    </row>
    <row r="7" spans="1:8" ht="15.75" x14ac:dyDescent="0.2">
      <c r="A7" s="604" t="s">
        <v>1101</v>
      </c>
      <c r="B7" s="604"/>
      <c r="C7" s="604"/>
      <c r="D7" s="341"/>
      <c r="E7" s="341"/>
      <c r="F7" s="341"/>
    </row>
    <row r="8" spans="1:8" ht="15.75" x14ac:dyDescent="0.2">
      <c r="A8" s="538"/>
      <c r="B8" s="542"/>
      <c r="C8" s="541"/>
      <c r="D8" s="341"/>
      <c r="E8" s="341"/>
      <c r="F8" s="341"/>
    </row>
    <row r="9" spans="1:8" ht="15.75" x14ac:dyDescent="0.2">
      <c r="A9" s="538"/>
      <c r="B9" s="542"/>
      <c r="C9" s="543" t="s">
        <v>1102</v>
      </c>
      <c r="D9" s="341"/>
      <c r="E9" s="341"/>
      <c r="F9" s="341"/>
    </row>
    <row r="10" spans="1:8" ht="13.5" thickBot="1" x14ac:dyDescent="0.25">
      <c r="D10" s="341"/>
      <c r="E10" s="341"/>
      <c r="F10" s="341"/>
    </row>
    <row r="11" spans="1:8" ht="15.75" x14ac:dyDescent="0.2">
      <c r="A11" s="546" t="s">
        <v>623</v>
      </c>
      <c r="B11" s="547" t="s">
        <v>1103</v>
      </c>
      <c r="C11" s="548" t="s">
        <v>1104</v>
      </c>
      <c r="D11" s="341"/>
      <c r="E11" s="341"/>
      <c r="F11" s="353"/>
      <c r="G11" s="360"/>
      <c r="H11" s="360"/>
    </row>
    <row r="12" spans="1:8" ht="31.5" x14ac:dyDescent="0.2">
      <c r="A12" s="549"/>
      <c r="B12" s="550" t="s">
        <v>1105</v>
      </c>
      <c r="C12" s="551">
        <f>C13+C17</f>
        <v>8573343.8999999762</v>
      </c>
      <c r="D12" s="341">
        <v>1370248.08</v>
      </c>
      <c r="E12" s="341"/>
      <c r="F12" s="353">
        <v>1907477.19</v>
      </c>
      <c r="G12" s="353"/>
      <c r="H12" s="353"/>
    </row>
    <row r="13" spans="1:8" ht="15.75" x14ac:dyDescent="0.2">
      <c r="A13" s="549">
        <v>1</v>
      </c>
      <c r="B13" s="550" t="s">
        <v>1106</v>
      </c>
      <c r="C13" s="551">
        <f>C14+C15</f>
        <v>8573343.8999999762</v>
      </c>
      <c r="D13" s="341">
        <f>C12-D12</f>
        <v>7203095.8199999761</v>
      </c>
      <c r="E13" s="341"/>
      <c r="F13" s="353"/>
      <c r="G13" s="353"/>
      <c r="H13" s="353"/>
    </row>
    <row r="14" spans="1:8" s="337" customFormat="1" ht="15.75" x14ac:dyDescent="0.2">
      <c r="A14" s="552" t="s">
        <v>629</v>
      </c>
      <c r="B14" s="553" t="s">
        <v>1107</v>
      </c>
      <c r="C14" s="554">
        <v>-233366145.53</v>
      </c>
      <c r="D14" s="336">
        <f>C13-D12</f>
        <v>7203095.8199999761</v>
      </c>
      <c r="E14" s="336"/>
      <c r="F14" s="352">
        <f>C12-F12</f>
        <v>6665866.7099999767</v>
      </c>
      <c r="G14" s="352"/>
      <c r="H14" s="352"/>
    </row>
    <row r="15" spans="1:8" s="337" customFormat="1" ht="15.75" x14ac:dyDescent="0.2">
      <c r="A15" s="552" t="s">
        <v>631</v>
      </c>
      <c r="B15" s="553" t="s">
        <v>1108</v>
      </c>
      <c r="C15" s="554">
        <v>241939489.42999998</v>
      </c>
      <c r="D15" s="336">
        <f>92347303.69+1370248.08</f>
        <v>93717551.769999996</v>
      </c>
      <c r="E15" s="336"/>
      <c r="F15" s="352">
        <v>241939489.43000001</v>
      </c>
      <c r="G15" s="352" t="s">
        <v>100</v>
      </c>
      <c r="H15" s="352"/>
    </row>
    <row r="16" spans="1:8" ht="47.25" x14ac:dyDescent="0.2">
      <c r="A16" s="549">
        <v>2</v>
      </c>
      <c r="B16" s="550" t="s">
        <v>1109</v>
      </c>
      <c r="C16" s="555"/>
      <c r="D16" s="341"/>
      <c r="E16" s="341"/>
      <c r="F16" s="341"/>
      <c r="G16" s="341"/>
      <c r="H16" s="341"/>
    </row>
    <row r="17" spans="1:9" ht="47.25" x14ac:dyDescent="0.2">
      <c r="A17" s="549">
        <v>3</v>
      </c>
      <c r="B17" s="550" t="s">
        <v>1110</v>
      </c>
      <c r="C17" s="555">
        <f>C18+C19</f>
        <v>0</v>
      </c>
      <c r="D17" s="341"/>
      <c r="E17" s="341"/>
      <c r="F17" s="341"/>
    </row>
    <row r="18" spans="1:9" s="337" customFormat="1" ht="15.75" x14ac:dyDescent="0.2">
      <c r="A18" s="552" t="s">
        <v>1111</v>
      </c>
      <c r="B18" s="553" t="s">
        <v>1112</v>
      </c>
      <c r="C18" s="556"/>
      <c r="D18" s="336"/>
      <c r="E18" s="336"/>
      <c r="F18" s="336"/>
    </row>
    <row r="19" spans="1:9" s="337" customFormat="1" ht="15.75" x14ac:dyDescent="0.2">
      <c r="A19" s="552" t="s">
        <v>1113</v>
      </c>
      <c r="B19" s="553" t="s">
        <v>1114</v>
      </c>
      <c r="C19" s="556"/>
      <c r="D19" s="336"/>
      <c r="E19" s="336"/>
      <c r="F19" s="336"/>
    </row>
    <row r="20" spans="1:9" ht="32.25" thickBot="1" x14ac:dyDescent="0.25">
      <c r="A20" s="557">
        <v>4</v>
      </c>
      <c r="B20" s="558" t="s">
        <v>1115</v>
      </c>
      <c r="C20" s="559"/>
      <c r="D20" s="341"/>
      <c r="E20" s="341"/>
      <c r="F20" s="341"/>
    </row>
    <row r="21" spans="1:9" x14ac:dyDescent="0.2">
      <c r="I21" s="560"/>
    </row>
    <row r="22" spans="1:9" ht="15.75" x14ac:dyDescent="0.2">
      <c r="B22" s="561" t="s">
        <v>1116</v>
      </c>
      <c r="C22" s="562">
        <v>5496005.46</v>
      </c>
    </row>
    <row r="23" spans="1:9" x14ac:dyDescent="0.2">
      <c r="C23" s="563"/>
    </row>
  </sheetData>
  <mergeCells count="2">
    <mergeCell ref="A6:C6"/>
    <mergeCell ref="A7:C7"/>
  </mergeCells>
  <pageMargins left="0.7" right="0.7" top="0.75" bottom="0.75" header="0.3" footer="0.3"/>
  <pageSetup paperSize="9" scale="56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topLeftCell="A58" workbookViewId="0">
      <selection activeCell="A2" sqref="A2:G69"/>
    </sheetView>
  </sheetViews>
  <sheetFormatPr defaultColWidth="10.6640625" defaultRowHeight="20.25" x14ac:dyDescent="0.3"/>
  <cols>
    <col min="1" max="1" width="12.83203125" style="207" bestFit="1" customWidth="1"/>
    <col min="2" max="2" width="101.1640625" style="207" customWidth="1"/>
    <col min="3" max="3" width="28.83203125" style="207" customWidth="1"/>
    <col min="4" max="4" width="26.33203125" style="208" customWidth="1"/>
    <col min="5" max="5" width="26.83203125" style="208" customWidth="1"/>
    <col min="6" max="7" width="19" style="208" bestFit="1" customWidth="1"/>
    <col min="8" max="12" width="10.6640625" style="208"/>
    <col min="13" max="16384" width="10.6640625" style="207"/>
  </cols>
  <sheetData>
    <row r="1" spans="1:12" x14ac:dyDescent="0.3">
      <c r="A1" s="206"/>
    </row>
    <row r="2" spans="1:12" x14ac:dyDescent="0.3">
      <c r="A2" s="206"/>
    </row>
    <row r="3" spans="1:12" x14ac:dyDescent="0.3">
      <c r="A3" s="206"/>
    </row>
    <row r="4" spans="1:12" x14ac:dyDescent="0.3">
      <c r="A4" s="206"/>
      <c r="B4" s="209"/>
      <c r="C4" s="209"/>
    </row>
    <row r="5" spans="1:12" x14ac:dyDescent="0.3">
      <c r="A5" s="206"/>
      <c r="B5" s="209"/>
      <c r="C5" s="209"/>
    </row>
    <row r="6" spans="1:12" x14ac:dyDescent="0.3">
      <c r="A6" s="206"/>
      <c r="B6" s="209"/>
      <c r="C6" s="209"/>
    </row>
    <row r="7" spans="1:12" x14ac:dyDescent="0.3">
      <c r="A7" s="605" t="s">
        <v>1126</v>
      </c>
      <c r="B7" s="605"/>
      <c r="C7" s="605"/>
    </row>
    <row r="8" spans="1:12" x14ac:dyDescent="0.3">
      <c r="A8" s="605" t="s">
        <v>620</v>
      </c>
      <c r="B8" s="605"/>
      <c r="C8" s="605"/>
    </row>
    <row r="9" spans="1:12" x14ac:dyDescent="0.3">
      <c r="A9" s="206"/>
      <c r="C9" s="210"/>
    </row>
    <row r="10" spans="1:12" x14ac:dyDescent="0.3">
      <c r="A10" s="206"/>
      <c r="C10" s="210"/>
    </row>
    <row r="11" spans="1:12" x14ac:dyDescent="0.3">
      <c r="A11" s="606" t="s">
        <v>621</v>
      </c>
      <c r="B11" s="606"/>
      <c r="C11" s="606"/>
      <c r="D11" s="606"/>
      <c r="E11" s="606"/>
    </row>
    <row r="12" spans="1:12" x14ac:dyDescent="0.3">
      <c r="A12" s="206"/>
      <c r="C12" s="210"/>
    </row>
    <row r="13" spans="1:12" x14ac:dyDescent="0.3">
      <c r="A13" s="206"/>
      <c r="B13" s="209"/>
      <c r="E13" s="208" t="s">
        <v>622</v>
      </c>
    </row>
    <row r="14" spans="1:12" ht="60.75" x14ac:dyDescent="0.3">
      <c r="A14" s="211" t="s">
        <v>623</v>
      </c>
      <c r="B14" s="212" t="s">
        <v>3</v>
      </c>
      <c r="C14" s="212" t="s">
        <v>624</v>
      </c>
      <c r="D14" s="213" t="s">
        <v>625</v>
      </c>
      <c r="E14" s="213" t="s">
        <v>626</v>
      </c>
    </row>
    <row r="15" spans="1:12" x14ac:dyDescent="0.3">
      <c r="A15" s="211">
        <v>1</v>
      </c>
      <c r="B15" s="214">
        <v>2</v>
      </c>
      <c r="C15" s="214" t="s">
        <v>627</v>
      </c>
      <c r="D15" s="214">
        <v>4</v>
      </c>
      <c r="E15" s="214">
        <v>5</v>
      </c>
    </row>
    <row r="16" spans="1:12" s="210" customFormat="1" ht="40.5" x14ac:dyDescent="0.3">
      <c r="A16" s="215">
        <v>1</v>
      </c>
      <c r="B16" s="212" t="s">
        <v>628</v>
      </c>
      <c r="C16" s="216">
        <f t="shared" ref="C16:C43" si="0">D16+E16</f>
        <v>3285844.8699999996</v>
      </c>
      <c r="D16" s="216">
        <f>SUM(D17:D20)</f>
        <v>3312043.8899999997</v>
      </c>
      <c r="E16" s="216">
        <f>SUM(E17:E20)</f>
        <v>-26199.02</v>
      </c>
      <c r="F16" s="217"/>
      <c r="G16" s="217"/>
      <c r="H16" s="217"/>
      <c r="I16" s="217"/>
      <c r="J16" s="217"/>
      <c r="K16" s="217"/>
      <c r="L16" s="217"/>
    </row>
    <row r="17" spans="1:12" s="210" customFormat="1" ht="81" x14ac:dyDescent="0.3">
      <c r="A17" s="218" t="s">
        <v>629</v>
      </c>
      <c r="B17" s="219" t="s">
        <v>630</v>
      </c>
      <c r="C17" s="220">
        <f t="shared" si="0"/>
        <v>425014.8</v>
      </c>
      <c r="D17" s="221">
        <v>425014.8</v>
      </c>
      <c r="E17" s="216"/>
      <c r="F17" s="217"/>
      <c r="G17" s="217"/>
      <c r="H17" s="217"/>
      <c r="I17" s="217"/>
      <c r="J17" s="217"/>
      <c r="K17" s="217"/>
      <c r="L17" s="217"/>
    </row>
    <row r="18" spans="1:12" s="210" customFormat="1" ht="81" x14ac:dyDescent="0.3">
      <c r="A18" s="218" t="s">
        <v>631</v>
      </c>
      <c r="B18" s="219" t="s">
        <v>632</v>
      </c>
      <c r="C18" s="220">
        <f t="shared" si="0"/>
        <v>2015500.4</v>
      </c>
      <c r="D18" s="221">
        <v>2015500.4</v>
      </c>
      <c r="E18" s="216"/>
      <c r="F18" s="217"/>
      <c r="G18" s="217"/>
      <c r="H18" s="217"/>
      <c r="I18" s="217"/>
      <c r="J18" s="217"/>
      <c r="K18" s="217"/>
      <c r="L18" s="217"/>
    </row>
    <row r="19" spans="1:12" s="210" customFormat="1" ht="81" x14ac:dyDescent="0.3">
      <c r="A19" s="218" t="s">
        <v>633</v>
      </c>
      <c r="B19" s="219" t="s">
        <v>634</v>
      </c>
      <c r="C19" s="220">
        <f t="shared" si="0"/>
        <v>871528.69</v>
      </c>
      <c r="D19" s="221">
        <v>871528.69</v>
      </c>
      <c r="E19" s="216"/>
      <c r="F19" s="217">
        <v>438159.59</v>
      </c>
      <c r="G19" s="217">
        <f>D19-F19</f>
        <v>433369.09999999992</v>
      </c>
      <c r="H19" s="217"/>
      <c r="I19" s="217"/>
      <c r="J19" s="217"/>
      <c r="K19" s="217"/>
      <c r="L19" s="217"/>
    </row>
    <row r="20" spans="1:12" ht="60.75" x14ac:dyDescent="0.3">
      <c r="A20" s="218" t="s">
        <v>635</v>
      </c>
      <c r="B20" s="219" t="s">
        <v>115</v>
      </c>
      <c r="C20" s="220">
        <f t="shared" si="0"/>
        <v>-26199.02</v>
      </c>
      <c r="D20" s="222"/>
      <c r="E20" s="222">
        <v>-26199.02</v>
      </c>
    </row>
    <row r="21" spans="1:12" s="210" customFormat="1" ht="40.5" x14ac:dyDescent="0.3">
      <c r="A21" s="223" t="s">
        <v>636</v>
      </c>
      <c r="B21" s="224" t="s">
        <v>637</v>
      </c>
      <c r="C21" s="225">
        <f>C22</f>
        <v>3335531.0800000019</v>
      </c>
      <c r="D21" s="225">
        <f t="shared" ref="D21:E21" si="1">D22</f>
        <v>2594722.5699999998</v>
      </c>
      <c r="E21" s="225">
        <f t="shared" si="1"/>
        <v>926330.24000000209</v>
      </c>
      <c r="F21" s="217"/>
      <c r="G21" s="217"/>
      <c r="H21" s="217"/>
      <c r="I21" s="217"/>
      <c r="J21" s="217"/>
      <c r="K21" s="217"/>
      <c r="L21" s="217"/>
    </row>
    <row r="22" spans="1:12" s="210" customFormat="1" x14ac:dyDescent="0.3">
      <c r="A22" s="223" t="s">
        <v>638</v>
      </c>
      <c r="B22" s="226" t="s">
        <v>639</v>
      </c>
      <c r="C22" s="227">
        <f>C23+C28+C36+C39+C42</f>
        <v>3335531.0800000019</v>
      </c>
      <c r="D22" s="227">
        <f t="shared" ref="D22:E22" si="2">D23+D28+D36+D39+D42</f>
        <v>2594722.5699999998</v>
      </c>
      <c r="E22" s="227">
        <f t="shared" si="2"/>
        <v>926330.24000000209</v>
      </c>
      <c r="F22" s="217"/>
      <c r="G22" s="217"/>
      <c r="H22" s="217"/>
      <c r="I22" s="217"/>
      <c r="J22" s="217"/>
      <c r="K22" s="217"/>
      <c r="L22" s="217"/>
    </row>
    <row r="23" spans="1:12" s="210" customFormat="1" ht="81" x14ac:dyDescent="0.3">
      <c r="A23" s="223" t="s">
        <v>640</v>
      </c>
      <c r="B23" s="228" t="s">
        <v>641</v>
      </c>
      <c r="C23" s="225">
        <f t="shared" si="0"/>
        <v>-32481.5</v>
      </c>
      <c r="D23" s="225">
        <f>SUM(D24:D27)</f>
        <v>0</v>
      </c>
      <c r="E23" s="225">
        <f>SUM(E24:E27)</f>
        <v>-32481.5</v>
      </c>
      <c r="F23" s="217"/>
      <c r="G23" s="217"/>
      <c r="H23" s="217"/>
      <c r="I23" s="217"/>
      <c r="J23" s="217"/>
      <c r="K23" s="217"/>
      <c r="L23" s="217"/>
    </row>
    <row r="24" spans="1:12" ht="101.25" x14ac:dyDescent="0.3">
      <c r="A24" s="218" t="s">
        <v>642</v>
      </c>
      <c r="B24" s="229" t="s">
        <v>643</v>
      </c>
      <c r="C24" s="230">
        <f t="shared" si="0"/>
        <v>-32481.5</v>
      </c>
      <c r="D24" s="220"/>
      <c r="E24" s="231">
        <v>-32481.5</v>
      </c>
    </row>
    <row r="25" spans="1:12" hidden="1" x14ac:dyDescent="0.3">
      <c r="A25" s="218"/>
      <c r="B25" s="229"/>
      <c r="C25" s="220">
        <f t="shared" si="0"/>
        <v>0</v>
      </c>
      <c r="D25" s="220"/>
      <c r="E25" s="231"/>
    </row>
    <row r="26" spans="1:12" hidden="1" x14ac:dyDescent="0.3">
      <c r="A26" s="218"/>
      <c r="B26" s="229"/>
      <c r="C26" s="220">
        <f t="shared" si="0"/>
        <v>0</v>
      </c>
      <c r="D26" s="220"/>
      <c r="E26" s="231"/>
    </row>
    <row r="27" spans="1:12" hidden="1" x14ac:dyDescent="0.3">
      <c r="A27" s="218"/>
      <c r="B27" s="229"/>
      <c r="C27" s="220">
        <f t="shared" si="0"/>
        <v>0</v>
      </c>
      <c r="D27" s="220"/>
      <c r="E27" s="231"/>
    </row>
    <row r="28" spans="1:12" s="210" customFormat="1" ht="81" x14ac:dyDescent="0.3">
      <c r="A28" s="223" t="s">
        <v>644</v>
      </c>
      <c r="B28" s="232" t="s">
        <v>645</v>
      </c>
      <c r="C28" s="225">
        <f t="shared" si="0"/>
        <v>11191114.800000001</v>
      </c>
      <c r="D28" s="233">
        <f>D29</f>
        <v>0</v>
      </c>
      <c r="E28" s="233">
        <f>E29</f>
        <v>11191114.800000001</v>
      </c>
      <c r="F28" s="217"/>
      <c r="G28" s="217"/>
      <c r="H28" s="217"/>
      <c r="I28" s="217"/>
      <c r="J28" s="217"/>
      <c r="K28" s="217"/>
      <c r="L28" s="217"/>
    </row>
    <row r="29" spans="1:12" ht="60.75" x14ac:dyDescent="0.3">
      <c r="A29" s="218" t="s">
        <v>646</v>
      </c>
      <c r="B29" s="234" t="s">
        <v>121</v>
      </c>
      <c r="C29" s="230">
        <f t="shared" si="0"/>
        <v>11191114.800000001</v>
      </c>
      <c r="D29" s="231"/>
      <c r="E29" s="231">
        <v>11191114.800000001</v>
      </c>
    </row>
    <row r="30" spans="1:12" s="210" customFormat="1" ht="40.5" x14ac:dyDescent="0.3">
      <c r="A30" s="223" t="s">
        <v>647</v>
      </c>
      <c r="B30" s="232" t="s">
        <v>648</v>
      </c>
      <c r="C30" s="225">
        <f t="shared" si="0"/>
        <v>-200000</v>
      </c>
      <c r="D30" s="233">
        <f>D31</f>
        <v>0</v>
      </c>
      <c r="E30" s="233">
        <f>E31</f>
        <v>-200000</v>
      </c>
      <c r="F30" s="217"/>
      <c r="G30" s="217"/>
      <c r="H30" s="217"/>
      <c r="I30" s="217"/>
      <c r="J30" s="217"/>
      <c r="K30" s="217"/>
      <c r="L30" s="217"/>
    </row>
    <row r="31" spans="1:12" ht="60.75" x14ac:dyDescent="0.3">
      <c r="A31" s="218" t="s">
        <v>649</v>
      </c>
      <c r="B31" s="234" t="s">
        <v>650</v>
      </c>
      <c r="C31" s="230">
        <f t="shared" si="0"/>
        <v>-200000</v>
      </c>
      <c r="D31" s="231"/>
      <c r="E31" s="231">
        <v>-200000</v>
      </c>
    </row>
    <row r="32" spans="1:12" s="210" customFormat="1" ht="60.75" x14ac:dyDescent="0.3">
      <c r="A32" s="223" t="s">
        <v>651</v>
      </c>
      <c r="B32" s="232" t="s">
        <v>652</v>
      </c>
      <c r="C32" s="225">
        <f t="shared" si="0"/>
        <v>-798474.6</v>
      </c>
      <c r="D32" s="233">
        <f>D33</f>
        <v>0</v>
      </c>
      <c r="E32" s="233">
        <f>E33</f>
        <v>-798474.6</v>
      </c>
      <c r="F32" s="217"/>
      <c r="G32" s="217"/>
      <c r="H32" s="217"/>
      <c r="I32" s="217"/>
      <c r="J32" s="217"/>
      <c r="K32" s="217"/>
      <c r="L32" s="217"/>
    </row>
    <row r="33" spans="1:12" ht="60.75" x14ac:dyDescent="0.3">
      <c r="A33" s="218" t="s">
        <v>653</v>
      </c>
      <c r="B33" s="234" t="s">
        <v>654</v>
      </c>
      <c r="C33" s="230">
        <f t="shared" si="0"/>
        <v>-798474.6</v>
      </c>
      <c r="D33" s="231"/>
      <c r="E33" s="231">
        <v>-798474.6</v>
      </c>
    </row>
    <row r="34" spans="1:12" s="210" customFormat="1" ht="40.5" x14ac:dyDescent="0.3">
      <c r="A34" s="223" t="s">
        <v>655</v>
      </c>
      <c r="B34" s="232" t="s">
        <v>656</v>
      </c>
      <c r="C34" s="225">
        <f t="shared" si="0"/>
        <v>-280000</v>
      </c>
      <c r="D34" s="233">
        <f>D35</f>
        <v>0</v>
      </c>
      <c r="E34" s="233">
        <f>E35</f>
        <v>-280000</v>
      </c>
      <c r="F34" s="217"/>
      <c r="G34" s="217"/>
      <c r="H34" s="217"/>
      <c r="I34" s="217"/>
      <c r="J34" s="217"/>
      <c r="K34" s="217"/>
      <c r="L34" s="217"/>
    </row>
    <row r="35" spans="1:12" ht="60.75" x14ac:dyDescent="0.3">
      <c r="A35" s="218" t="s">
        <v>657</v>
      </c>
      <c r="B35" s="234" t="s">
        <v>658</v>
      </c>
      <c r="C35" s="230">
        <f t="shared" si="0"/>
        <v>-280000</v>
      </c>
      <c r="D35" s="231"/>
      <c r="E35" s="231">
        <v>-280000</v>
      </c>
    </row>
    <row r="36" spans="1:12" s="210" customFormat="1" ht="60.75" x14ac:dyDescent="0.3">
      <c r="A36" s="223" t="s">
        <v>659</v>
      </c>
      <c r="B36" s="232" t="s">
        <v>660</v>
      </c>
      <c r="C36" s="225">
        <f t="shared" si="0"/>
        <v>373942.71</v>
      </c>
      <c r="D36" s="233">
        <f>SUM(D37:D38)</f>
        <v>398222.57</v>
      </c>
      <c r="E36" s="233">
        <f>SUM(E37:E38)</f>
        <v>-24279.86</v>
      </c>
      <c r="F36" s="217"/>
      <c r="G36" s="217"/>
      <c r="H36" s="217"/>
      <c r="I36" s="217"/>
      <c r="J36" s="217"/>
      <c r="K36" s="217"/>
      <c r="L36" s="217"/>
    </row>
    <row r="37" spans="1:12" ht="60.75" x14ac:dyDescent="0.3">
      <c r="A37" s="218" t="s">
        <v>661</v>
      </c>
      <c r="B37" s="234" t="s">
        <v>124</v>
      </c>
      <c r="C37" s="230">
        <f t="shared" si="0"/>
        <v>-24279.86</v>
      </c>
      <c r="D37" s="231"/>
      <c r="E37" s="231">
        <v>-24279.86</v>
      </c>
    </row>
    <row r="38" spans="1:12" ht="60.75" x14ac:dyDescent="0.3">
      <c r="A38" s="218" t="s">
        <v>662</v>
      </c>
      <c r="B38" s="234" t="s">
        <v>663</v>
      </c>
      <c r="C38" s="220">
        <f t="shared" si="0"/>
        <v>398222.57</v>
      </c>
      <c r="D38" s="231">
        <v>398222.57</v>
      </c>
      <c r="E38" s="231"/>
    </row>
    <row r="39" spans="1:12" s="210" customFormat="1" ht="101.25" x14ac:dyDescent="0.3">
      <c r="A39" s="223" t="s">
        <v>664</v>
      </c>
      <c r="B39" s="232" t="s">
        <v>665</v>
      </c>
      <c r="C39" s="225">
        <f>SUM(C40:C41)</f>
        <v>-10393544.93</v>
      </c>
      <c r="D39" s="225">
        <f t="shared" ref="D39:E39" si="3">SUM(D40:D41)</f>
        <v>0</v>
      </c>
      <c r="E39" s="225">
        <f t="shared" si="3"/>
        <v>-10208023.199999999</v>
      </c>
      <c r="F39" s="217"/>
      <c r="G39" s="217"/>
      <c r="H39" s="217"/>
      <c r="I39" s="217"/>
      <c r="J39" s="217"/>
      <c r="K39" s="217"/>
      <c r="L39" s="217"/>
    </row>
    <row r="40" spans="1:12" s="210" customFormat="1" ht="81" x14ac:dyDescent="0.3">
      <c r="A40" s="218" t="s">
        <v>692</v>
      </c>
      <c r="B40" s="234" t="s">
        <v>127</v>
      </c>
      <c r="C40" s="225">
        <v>-5289533.33</v>
      </c>
      <c r="D40" s="233"/>
      <c r="E40" s="231">
        <v>-5104011.5999999996</v>
      </c>
      <c r="F40" s="217"/>
      <c r="G40" s="217"/>
      <c r="H40" s="217"/>
      <c r="I40" s="217"/>
      <c r="J40" s="217"/>
      <c r="K40" s="217"/>
      <c r="L40" s="217"/>
    </row>
    <row r="41" spans="1:12" ht="81" x14ac:dyDescent="0.3">
      <c r="A41" s="218" t="s">
        <v>666</v>
      </c>
      <c r="B41" s="234" t="s">
        <v>127</v>
      </c>
      <c r="C41" s="230">
        <f t="shared" si="0"/>
        <v>-5104011.5999999996</v>
      </c>
      <c r="D41" s="231"/>
      <c r="E41" s="231">
        <v>-5104011.5999999996</v>
      </c>
    </row>
    <row r="42" spans="1:12" s="210" customFormat="1" ht="40.5" x14ac:dyDescent="0.3">
      <c r="A42" s="223" t="s">
        <v>667</v>
      </c>
      <c r="B42" s="232" t="s">
        <v>668</v>
      </c>
      <c r="C42" s="225">
        <f t="shared" si="0"/>
        <v>2196500</v>
      </c>
      <c r="D42" s="233">
        <f>D43</f>
        <v>2196500</v>
      </c>
      <c r="E42" s="233">
        <f>E43</f>
        <v>0</v>
      </c>
      <c r="F42" s="217"/>
      <c r="G42" s="217"/>
      <c r="H42" s="217"/>
      <c r="I42" s="217"/>
      <c r="J42" s="217"/>
      <c r="K42" s="217"/>
      <c r="L42" s="217"/>
    </row>
    <row r="43" spans="1:12" ht="40.5" x14ac:dyDescent="0.3">
      <c r="A43" s="218" t="s">
        <v>669</v>
      </c>
      <c r="B43" s="234" t="s">
        <v>670</v>
      </c>
      <c r="C43" s="230">
        <f t="shared" si="0"/>
        <v>2196500</v>
      </c>
      <c r="D43" s="231">
        <v>2196500</v>
      </c>
      <c r="E43" s="231"/>
    </row>
    <row r="44" spans="1:12" s="210" customFormat="1" x14ac:dyDescent="0.3">
      <c r="A44" s="223" t="s">
        <v>671</v>
      </c>
      <c r="B44" s="232" t="s">
        <v>371</v>
      </c>
      <c r="C44" s="225">
        <f>D44+E44</f>
        <v>0</v>
      </c>
      <c r="D44" s="225">
        <f t="shared" ref="D44:E44" si="4">D45</f>
        <v>0</v>
      </c>
      <c r="E44" s="225">
        <f t="shared" si="4"/>
        <v>0</v>
      </c>
      <c r="F44" s="217"/>
      <c r="G44" s="217"/>
      <c r="H44" s="217"/>
      <c r="I44" s="217"/>
      <c r="J44" s="217"/>
      <c r="K44" s="217"/>
      <c r="L44" s="217"/>
    </row>
    <row r="45" spans="1:12" ht="60.75" x14ac:dyDescent="0.3">
      <c r="A45" s="218" t="s">
        <v>672</v>
      </c>
      <c r="B45" s="234" t="s">
        <v>673</v>
      </c>
      <c r="C45" s="220">
        <v>0</v>
      </c>
      <c r="D45" s="231"/>
      <c r="E45" s="231"/>
    </row>
    <row r="46" spans="1:12" x14ac:dyDescent="0.3">
      <c r="A46" s="218"/>
      <c r="B46" s="232" t="s">
        <v>674</v>
      </c>
      <c r="C46" s="225">
        <f>D46+E46</f>
        <v>6806897.6800000016</v>
      </c>
      <c r="D46" s="225">
        <f>D16+D22</f>
        <v>5906766.459999999</v>
      </c>
      <c r="E46" s="225">
        <f>E16+E22</f>
        <v>900131.22000000207</v>
      </c>
    </row>
    <row r="47" spans="1:12" x14ac:dyDescent="0.3">
      <c r="A47" s="235"/>
      <c r="B47" s="236"/>
      <c r="C47" s="237"/>
      <c r="D47" s="238"/>
      <c r="E47" s="238"/>
    </row>
    <row r="48" spans="1:12" x14ac:dyDescent="0.3">
      <c r="A48" s="206"/>
    </row>
    <row r="49" spans="1:5" ht="60.75" x14ac:dyDescent="0.3">
      <c r="A49" s="211" t="s">
        <v>623</v>
      </c>
      <c r="B49" s="212" t="s">
        <v>3</v>
      </c>
      <c r="C49" s="212" t="s">
        <v>675</v>
      </c>
      <c r="D49" s="213" t="s">
        <v>625</v>
      </c>
      <c r="E49" s="213" t="s">
        <v>626</v>
      </c>
    </row>
    <row r="50" spans="1:5" x14ac:dyDescent="0.3">
      <c r="A50" s="211">
        <v>1</v>
      </c>
      <c r="B50" s="214">
        <v>2</v>
      </c>
      <c r="C50" s="214" t="s">
        <v>627</v>
      </c>
      <c r="D50" s="214">
        <v>4</v>
      </c>
      <c r="E50" s="214">
        <v>5</v>
      </c>
    </row>
    <row r="51" spans="1:5" ht="40.5" x14ac:dyDescent="0.3">
      <c r="A51" s="223" t="s">
        <v>676</v>
      </c>
      <c r="B51" s="224" t="s">
        <v>637</v>
      </c>
      <c r="C51" s="225">
        <f>C56</f>
        <v>2000000</v>
      </c>
      <c r="D51" s="225">
        <f t="shared" ref="D51:E51" si="5">D56</f>
        <v>2000000</v>
      </c>
      <c r="E51" s="225">
        <f t="shared" si="5"/>
        <v>0</v>
      </c>
    </row>
    <row r="52" spans="1:5" hidden="1" x14ac:dyDescent="0.3">
      <c r="A52" s="223" t="s">
        <v>629</v>
      </c>
      <c r="B52" s="224" t="s">
        <v>639</v>
      </c>
      <c r="C52" s="227">
        <f t="shared" ref="C52:C53" si="6">D52+E52</f>
        <v>0</v>
      </c>
      <c r="D52" s="227">
        <f>D53</f>
        <v>0</v>
      </c>
      <c r="E52" s="227">
        <f>E53</f>
        <v>0</v>
      </c>
    </row>
    <row r="53" spans="1:5" ht="81" hidden="1" x14ac:dyDescent="0.3">
      <c r="A53" s="223" t="s">
        <v>677</v>
      </c>
      <c r="B53" s="228" t="s">
        <v>641</v>
      </c>
      <c r="C53" s="225">
        <f t="shared" si="6"/>
        <v>0</v>
      </c>
      <c r="D53" s="225">
        <f>SUM(D54:D55)</f>
        <v>0</v>
      </c>
      <c r="E53" s="225">
        <f>SUM(E54:E55)</f>
        <v>0</v>
      </c>
    </row>
    <row r="54" spans="1:5" hidden="1" x14ac:dyDescent="0.3">
      <c r="A54" s="218" t="s">
        <v>678</v>
      </c>
      <c r="B54" s="234"/>
      <c r="C54" s="239">
        <f>D54+E54</f>
        <v>0</v>
      </c>
      <c r="D54" s="231"/>
      <c r="E54" s="231"/>
    </row>
    <row r="55" spans="1:5" hidden="1" x14ac:dyDescent="0.3">
      <c r="A55" s="218" t="s">
        <v>679</v>
      </c>
      <c r="B55" s="234"/>
      <c r="C55" s="239">
        <f>D55+E55</f>
        <v>0</v>
      </c>
      <c r="D55" s="231"/>
      <c r="E55" s="231"/>
    </row>
    <row r="56" spans="1:5" x14ac:dyDescent="0.3">
      <c r="A56" s="223" t="s">
        <v>680</v>
      </c>
      <c r="B56" s="240" t="s">
        <v>371</v>
      </c>
      <c r="C56" s="239">
        <f t="shared" ref="C56:C57" si="7">D56+E56</f>
        <v>2000000</v>
      </c>
      <c r="D56" s="233">
        <f>D57</f>
        <v>2000000</v>
      </c>
      <c r="E56" s="233">
        <f>E57</f>
        <v>0</v>
      </c>
    </row>
    <row r="57" spans="1:5" ht="101.25" x14ac:dyDescent="0.3">
      <c r="A57" s="218" t="s">
        <v>677</v>
      </c>
      <c r="B57" s="234" t="s">
        <v>681</v>
      </c>
      <c r="C57" s="239">
        <f t="shared" si="7"/>
        <v>2000000</v>
      </c>
      <c r="D57" s="231">
        <v>2000000</v>
      </c>
      <c r="E57" s="231"/>
    </row>
    <row r="58" spans="1:5" x14ac:dyDescent="0.3">
      <c r="A58" s="241"/>
      <c r="B58" s="232" t="s">
        <v>674</v>
      </c>
      <c r="C58" s="242">
        <f>C51</f>
        <v>2000000</v>
      </c>
      <c r="D58" s="242">
        <f t="shared" ref="D58:E58" si="8">D51</f>
        <v>2000000</v>
      </c>
      <c r="E58" s="242">
        <f t="shared" si="8"/>
        <v>0</v>
      </c>
    </row>
    <row r="59" spans="1:5" x14ac:dyDescent="0.3">
      <c r="C59" s="243"/>
    </row>
  </sheetData>
  <mergeCells count="3">
    <mergeCell ref="A7:C7"/>
    <mergeCell ref="A8:C8"/>
    <mergeCell ref="A11:E11"/>
  </mergeCells>
  <pageMargins left="0.7" right="0.7" top="0.75" bottom="0.75" header="0.3" footer="0.3"/>
  <pageSetup paperSize="9" scale="4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Приложение 1 Доходы 2023</vt:lpstr>
      <vt:lpstr>Приложение 2 МП</vt:lpstr>
      <vt:lpstr>Приложение 3 непрограммные</vt:lpstr>
      <vt:lpstr>Приложение 4 Расходы</vt:lpstr>
      <vt:lpstr>Приложение № 5</vt:lpstr>
      <vt:lpstr>Приложение 6</vt:lpstr>
      <vt:lpstr>Приложение 7</vt:lpstr>
      <vt:lpstr>По решению МРСД</vt:lpstr>
      <vt:lpstr>'Приложение 1 Доходы 2023'!Заголовки_для_печати</vt:lpstr>
      <vt:lpstr>'Приложение 1 Доходы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2023-12-05T00:46:48Z</dcterms:modified>
</cp:coreProperties>
</file>