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75" windowHeight="3555"/>
  </bookViews>
  <sheets>
    <sheet name="Расчет показателей" sheetId="1" r:id="rId1"/>
    <sheet name="Отчет АМО" sheetId="2" r:id="rId2"/>
  </sheets>
  <calcPr calcId="152511"/>
</workbook>
</file>

<file path=xl/calcChain.xml><?xml version="1.0" encoding="utf-8"?>
<calcChain xmlns="http://schemas.openxmlformats.org/spreadsheetml/2006/main">
  <c r="B8" i="1" l="1"/>
  <c r="B9" i="1" l="1"/>
  <c r="C18" i="2" l="1"/>
  <c r="C19" i="2"/>
  <c r="F5" i="2"/>
  <c r="E5" i="2" s="1"/>
  <c r="E18" i="2" s="1"/>
  <c r="E19" i="2" s="1"/>
  <c r="C5" i="2"/>
  <c r="D18" i="2"/>
  <c r="J8" i="1"/>
  <c r="H12" i="1"/>
  <c r="H11" i="1"/>
  <c r="H10" i="1"/>
  <c r="H9" i="1"/>
  <c r="H8" i="1"/>
  <c r="F12" i="1"/>
  <c r="F11" i="1"/>
  <c r="F10" i="1"/>
  <c r="F9" i="1"/>
  <c r="F8" i="1"/>
  <c r="D12" i="1"/>
  <c r="D11" i="1"/>
  <c r="D10" i="1"/>
  <c r="D9" i="1"/>
  <c r="D8" i="1"/>
  <c r="B12" i="1"/>
  <c r="B11" i="1"/>
  <c r="B10" i="1"/>
  <c r="F18" i="2" l="1"/>
  <c r="E22" i="2"/>
  <c r="B18" i="2"/>
  <c r="N15" i="2"/>
  <c r="M15" i="2" s="1"/>
  <c r="L15" i="2"/>
  <c r="K15" i="2" s="1"/>
  <c r="J15" i="2"/>
  <c r="I15" i="2" s="1"/>
  <c r="H15" i="2"/>
  <c r="G15" i="2" s="1"/>
  <c r="F15" i="2"/>
  <c r="E15" i="2" s="1"/>
  <c r="C15" i="2"/>
  <c r="N13" i="2"/>
  <c r="M13" i="2" s="1"/>
  <c r="L13" i="2"/>
  <c r="K13" i="2"/>
  <c r="J13" i="2"/>
  <c r="I13" i="2" s="1"/>
  <c r="H13" i="2"/>
  <c r="G13" i="2" s="1"/>
  <c r="F13" i="2"/>
  <c r="E13" i="2" s="1"/>
  <c r="C13" i="2"/>
  <c r="N11" i="2"/>
  <c r="M11" i="2" s="1"/>
  <c r="L11" i="2"/>
  <c r="K11" i="2" s="1"/>
  <c r="J11" i="2"/>
  <c r="I11" i="2" s="1"/>
  <c r="H11" i="2"/>
  <c r="G11" i="2" s="1"/>
  <c r="F11" i="2"/>
  <c r="E11" i="2" s="1"/>
  <c r="C11" i="2"/>
  <c r="N5" i="2"/>
  <c r="M5" i="2" s="1"/>
  <c r="L5" i="2"/>
  <c r="K5" i="2" s="1"/>
  <c r="J5" i="2"/>
  <c r="I5" i="2" s="1"/>
  <c r="H5" i="2"/>
  <c r="G5" i="2" s="1"/>
  <c r="T12" i="1"/>
  <c r="T11" i="1"/>
  <c r="T10" i="1"/>
  <c r="T9" i="1"/>
  <c r="T8" i="1"/>
  <c r="I18" i="2" l="1"/>
  <c r="I19" i="2" s="1"/>
  <c r="G18" i="2"/>
  <c r="G19" i="2" s="1"/>
  <c r="J18" i="2"/>
  <c r="M18" i="2"/>
  <c r="M19" i="2" s="1"/>
  <c r="K18" i="2"/>
  <c r="K19" i="2" s="1"/>
  <c r="H18" i="2"/>
  <c r="L18" i="2"/>
  <c r="N18" i="2"/>
</calcChain>
</file>

<file path=xl/sharedStrings.xml><?xml version="1.0" encoding="utf-8"?>
<sst xmlns="http://schemas.openxmlformats.org/spreadsheetml/2006/main" count="97" uniqueCount="68">
  <si>
    <t>ПОКАЗАТЕЛИ ДЛЯ ОЦЕНКИ КАЧЕСТВА ФИНАНСОВОГО МЕНЕДЖМЕНТА ПОДВЕДОМСТВЕННЫХ УЧРЕЖДЕНИЙ АДМИНИСТРАЦИИ МО "МИРНИНСКИЙ РАЙОН" РЕСПУБЛИКИ САХА (ЯКУТИЯ)</t>
  </si>
  <si>
    <t>1. ПОКАЗАТЕЛТИ КАЧЕСТВА УПРАВЛЕНИЯ РАСХОДАМИ</t>
  </si>
  <si>
    <t xml:space="preserve">3. ПОКАЗАТЕЛИ
КАЧЕСТВА ВЕДЕНИЯ УЧЕТА И СОСТАВЛЕНИЯ БЮДЖЕТНОЙ ОТЧЕТНОСТИ
</t>
  </si>
  <si>
    <t>4. КАЧЕСТВО УПРАВЛЕНИЯ АКТИВАМИ</t>
  </si>
  <si>
    <t>5. ПОКАЗАТЕЛИ КАЧЕСТВА ОРГАНИЗАЦИИ И ОСУЩЕСТВЛЕНИЯ ФИНАНСОВОГО КОНТРОЛЯ</t>
  </si>
  <si>
    <t>6. РЕЗУЛЬТАТ</t>
  </si>
  <si>
    <t>Качественное планирование расходов (Р1)</t>
  </si>
  <si>
    <t>Равномерность расходов (Р2)</t>
  </si>
  <si>
    <t>Доля неисполненных на конец отчетного года бюджетных ассигнований (Р3)</t>
  </si>
  <si>
    <t>Изменение дебиторской задолженности ГРБС и муниципальных подведомственных ему учреждений в отчетном периоде по сравнению с началом года (Р4)</t>
  </si>
  <si>
    <t>Наличие судебных актов Российской Федерации и мировых соглашений по возмещению вреда, причиненного в результате незаконных действий (бездействия) главного администратора либо его должностных лиц (Р14)</t>
  </si>
  <si>
    <t>Достоверность бюджетной отчетности</t>
  </si>
  <si>
    <t>Доля недостач и хищений денежных средств и материальных ценностей</t>
  </si>
  <si>
    <t>Неправомерное использование бюджетных средств, в том числе нецелевое использование бюджетных средств (* в случае, если проверка в отчетном году не проводилась, применяется оценка показателя равная 1)</t>
  </si>
  <si>
    <t>Несоблюдение правил планирования закупок (* в случае, если проверка в отчетном году не проводилась, применяется оценка показателя равная 1)</t>
  </si>
  <si>
    <t xml:space="preserve">Итоговая оценка </t>
  </si>
  <si>
    <t>Рейтинг</t>
  </si>
  <si>
    <t>Расчет показателя</t>
  </si>
  <si>
    <t>Р1=КР*(1-G/B)</t>
  </si>
  <si>
    <t>оценка показателя Р1</t>
  </si>
  <si>
    <t>Р2=(Е-Еср)*100/Еср</t>
  </si>
  <si>
    <t>оценка показателя Р2</t>
  </si>
  <si>
    <t>P3=Е/Д*100</t>
  </si>
  <si>
    <t>оценка показателя Р3</t>
  </si>
  <si>
    <t>Р4=100*(Д.з. отч.п/Д.з. н.г.)</t>
  </si>
  <si>
    <t>оценка показателя Р4</t>
  </si>
  <si>
    <t>P5=Sv/E</t>
  </si>
  <si>
    <t>оценка показателя Р5</t>
  </si>
  <si>
    <t>Р6 наличие/отсутствие</t>
  </si>
  <si>
    <t>оценка показателя Р6</t>
  </si>
  <si>
    <t xml:space="preserve">      Р7= 100 T / (O + M),</t>
  </si>
  <si>
    <t>оценка показателя Р7</t>
  </si>
  <si>
    <t>P8 = Qz,</t>
  </si>
  <si>
    <t>оценка показателя Р8</t>
  </si>
  <si>
    <t>P9 = Qz,</t>
  </si>
  <si>
    <t>оценка показателя Р9</t>
  </si>
  <si>
    <t xml:space="preserve">единица измерения </t>
  </si>
  <si>
    <t>балл</t>
  </si>
  <si>
    <t>ГРБС 1 Администрация МО "Мирнинский район"</t>
  </si>
  <si>
    <t>Администрация МО "Мирнинский район"</t>
  </si>
  <si>
    <t>отсутствие</t>
  </si>
  <si>
    <t>МКУ "Коммунально строительное управление"</t>
  </si>
  <si>
    <t>МКУ "Управление сельского хозяйства"</t>
  </si>
  <si>
    <t>МКУ "ЕДДС"</t>
  </si>
  <si>
    <t>удовлетворительно</t>
  </si>
  <si>
    <t>МАУ "ЦРПиЗ"</t>
  </si>
  <si>
    <t>ОТЧЕТ О РЕЗУЛЬТАТАХ МОНИТОРИНГА КАЧЕСТВА ФИНАНСОВОГО МЕНЕДЖМЕНТА ПОДВЕДОМСТВЕННЫХ УЧРЕЖДЕНИЙ АДМИНИСТРАЦИИ МО "МИРНИНСКИЙ РАЙОН"</t>
  </si>
  <si>
    <t>НАИМЕНОВАНИЕ БЛОКА</t>
  </si>
  <si>
    <t>ВЕС ГРУППЫ В ОЦЕНКЕ</t>
  </si>
  <si>
    <t>Целевой показатель оценки качества по блоку (Е итог)</t>
  </si>
  <si>
    <t>Целевой показатель (балл)</t>
  </si>
  <si>
    <t>АМО</t>
  </si>
  <si>
    <t>КСУ</t>
  </si>
  <si>
    <t>УСХ</t>
  </si>
  <si>
    <t>ЕДДС</t>
  </si>
  <si>
    <t>МАУ</t>
  </si>
  <si>
    <t>оценка качества по блоку (Е итог)</t>
  </si>
  <si>
    <t>ПОКАЗАТЕЛИ КАЧЕСТВА УПРАВЛЕНИЯ РАСХОДАМИ</t>
  </si>
  <si>
    <t>Наличие судебных актов Российской Федерации и мировых соглашений по возмещению вреда, причиненного в результате незаконных действий (бездействия) главного администратора либо его должностных лиц (Р5)</t>
  </si>
  <si>
    <t>ПОКАЗАТЕЛИ КАЧЕСТВА ВЕДЕНИЯ УЧЕТА И СОСТАВЛЕНИЯ БЮДЖЕТНОЙ ОТЧЕТНОСТИ</t>
  </si>
  <si>
    <t>ПОКАЗАТЕЛИ КАЧЕСТВА УПРАВЛЕНИЯ АКТИВАМИ</t>
  </si>
  <si>
    <t>ПОКАЗАТЕЛИ КАЧЕСТВА ОРГАНИЗАЦИИ И ОСУЩЕСТВЛЕНИЯ ФИНАНСОВОГО КОНТРОЛЯ</t>
  </si>
  <si>
    <t>Неправомерное использование бюджетных средств, в том числе нецелевое использование бюджетных средств</t>
  </si>
  <si>
    <t>Несоблюдение правил планирования закупок</t>
  </si>
  <si>
    <t xml:space="preserve">СУММАРНАЯ ОЦЕНКА </t>
  </si>
  <si>
    <t>ИТОГОВАЯ ОЦЕНКА КАЧЕСТВА (Q)</t>
  </si>
  <si>
    <t>E Мах = 3,60 = (60*5/100)+(10*1/100)+(10*1/100)+(20*2/100)</t>
  </si>
  <si>
    <t>хорошо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</si>
</sst>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8" fillId="5" borderId="1" xfId="0" applyFont="1" applyFill="1" applyBorder="1" applyAlignment="1">
      <alignment horizontal="left" vertical="center" wrapText="1"/>
    </xf>
    <xf numFmtId="2" fontId="8" fillId="5" borderId="7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2" fontId="6" fillId="7" borderId="7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" fontId="8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vertical="center"/>
    </xf>
    <xf numFmtId="0" fontId="6" fillId="0" borderId="1" xfId="0" applyFont="1" applyBorder="1"/>
    <xf numFmtId="0" fontId="8" fillId="0" borderId="0" xfId="0" applyFont="1"/>
    <xf numFmtId="0" fontId="6" fillId="0" borderId="0" xfId="0" applyFont="1"/>
    <xf numFmtId="2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7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/>
    </xf>
    <xf numFmtId="2" fontId="8" fillId="6" borderId="4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133350</xdr:colOff>
      <xdr:row>4</xdr:row>
      <xdr:rowOff>190500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287655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view="pageBreakPreview" topLeftCell="A2" zoomScale="60" zoomScaleNormal="80" workbookViewId="0">
      <selection activeCell="U33" sqref="U33"/>
    </sheetView>
  </sheetViews>
  <sheetFormatPr defaultRowHeight="15" x14ac:dyDescent="0.25"/>
  <cols>
    <col min="1" max="1" width="61.28515625" style="33" customWidth="1"/>
    <col min="2" max="2" width="12.7109375" style="2" customWidth="1"/>
    <col min="3" max="3" width="14.140625" style="2" customWidth="1"/>
    <col min="4" max="4" width="13.140625" style="2" customWidth="1"/>
    <col min="5" max="5" width="14.140625" style="2" customWidth="1"/>
    <col min="6" max="6" width="12.42578125" style="2" customWidth="1"/>
    <col min="7" max="7" width="14.140625" style="2" customWidth="1"/>
    <col min="8" max="8" width="11.42578125" style="2" customWidth="1"/>
    <col min="9" max="9" width="14.140625" style="2" customWidth="1"/>
    <col min="10" max="10" width="11.42578125" style="2" customWidth="1"/>
    <col min="11" max="11" width="14.140625" style="2" customWidth="1"/>
    <col min="12" max="12" width="12.85546875" style="2" customWidth="1"/>
    <col min="13" max="13" width="15.140625" style="2" customWidth="1"/>
    <col min="14" max="14" width="12" style="2" customWidth="1"/>
    <col min="15" max="15" width="15.85546875" style="2" customWidth="1"/>
    <col min="16" max="16" width="12.7109375" style="2" customWidth="1"/>
    <col min="17" max="17" width="13.5703125" style="2" customWidth="1"/>
    <col min="18" max="18" width="12.140625" style="2" customWidth="1"/>
    <col min="19" max="19" width="12" style="2" customWidth="1"/>
    <col min="20" max="20" width="13.85546875" style="2" customWidth="1"/>
    <col min="21" max="21" width="14.28515625" style="2" customWidth="1"/>
    <col min="22" max="22" width="22.85546875" style="2" customWidth="1"/>
    <col min="23" max="16384" width="9.140625" style="2"/>
  </cols>
  <sheetData>
    <row r="1" spans="1:22" ht="1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</row>
    <row r="3" spans="1:22" s="4" customFormat="1" ht="90.75" customHeight="1" x14ac:dyDescent="0.25">
      <c r="A3" s="3"/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7"/>
      <c r="L3" s="78" t="s">
        <v>2</v>
      </c>
      <c r="M3" s="79"/>
      <c r="N3" s="80" t="s">
        <v>3</v>
      </c>
      <c r="O3" s="81"/>
      <c r="P3" s="82" t="s">
        <v>4</v>
      </c>
      <c r="Q3" s="83"/>
      <c r="R3" s="83"/>
      <c r="S3" s="84"/>
      <c r="T3" s="72" t="s">
        <v>5</v>
      </c>
      <c r="U3" s="73"/>
    </row>
    <row r="4" spans="1:22" s="6" customFormat="1" ht="134.25" customHeight="1" x14ac:dyDescent="0.25">
      <c r="A4" s="3"/>
      <c r="B4" s="68" t="s">
        <v>6</v>
      </c>
      <c r="C4" s="69"/>
      <c r="D4" s="68" t="s">
        <v>7</v>
      </c>
      <c r="E4" s="69"/>
      <c r="F4" s="68" t="s">
        <v>8</v>
      </c>
      <c r="G4" s="69"/>
      <c r="H4" s="68" t="s">
        <v>9</v>
      </c>
      <c r="I4" s="69"/>
      <c r="J4" s="70" t="s">
        <v>10</v>
      </c>
      <c r="K4" s="70"/>
      <c r="L4" s="71" t="s">
        <v>11</v>
      </c>
      <c r="M4" s="71"/>
      <c r="N4" s="65" t="s">
        <v>12</v>
      </c>
      <c r="O4" s="66"/>
      <c r="P4" s="67" t="s">
        <v>13</v>
      </c>
      <c r="Q4" s="67"/>
      <c r="R4" s="67" t="s">
        <v>14</v>
      </c>
      <c r="S4" s="67"/>
      <c r="T4" s="5" t="s">
        <v>15</v>
      </c>
      <c r="U4" s="5" t="s">
        <v>16</v>
      </c>
    </row>
    <row r="5" spans="1:22" s="13" customFormat="1" ht="65.25" customHeight="1" x14ac:dyDescent="0.25">
      <c r="A5" s="7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9" t="s">
        <v>28</v>
      </c>
      <c r="M5" s="9" t="s">
        <v>29</v>
      </c>
      <c r="N5" s="10" t="s">
        <v>30</v>
      </c>
      <c r="O5" s="10" t="s">
        <v>31</v>
      </c>
      <c r="P5" s="11" t="s">
        <v>32</v>
      </c>
      <c r="Q5" s="11" t="s">
        <v>33</v>
      </c>
      <c r="R5" s="11" t="s">
        <v>34</v>
      </c>
      <c r="S5" s="11" t="s">
        <v>35</v>
      </c>
      <c r="T5" s="12"/>
      <c r="U5" s="12"/>
    </row>
    <row r="6" spans="1:22" s="19" customFormat="1" x14ac:dyDescent="0.25">
      <c r="A6" s="14" t="s">
        <v>36</v>
      </c>
      <c r="B6" s="15"/>
      <c r="C6" s="15" t="s">
        <v>37</v>
      </c>
      <c r="D6" s="15"/>
      <c r="E6" s="15" t="s">
        <v>37</v>
      </c>
      <c r="F6" s="15"/>
      <c r="G6" s="15" t="s">
        <v>37</v>
      </c>
      <c r="H6" s="15"/>
      <c r="I6" s="15" t="s">
        <v>37</v>
      </c>
      <c r="J6" s="16"/>
      <c r="K6" s="16"/>
      <c r="L6" s="17"/>
      <c r="M6" s="17" t="s">
        <v>37</v>
      </c>
      <c r="N6" s="17"/>
      <c r="O6" s="17" t="s">
        <v>37</v>
      </c>
      <c r="P6" s="17"/>
      <c r="Q6" s="17" t="s">
        <v>37</v>
      </c>
      <c r="R6" s="17"/>
      <c r="S6" s="17" t="s">
        <v>37</v>
      </c>
      <c r="T6" s="17"/>
      <c r="U6" s="17"/>
      <c r="V6" s="18"/>
    </row>
    <row r="7" spans="1:22" s="26" customFormat="1" ht="26.25" customHeight="1" x14ac:dyDescent="0.25">
      <c r="A7" s="20" t="s">
        <v>38</v>
      </c>
      <c r="B7" s="21"/>
      <c r="C7" s="22"/>
      <c r="D7" s="21"/>
      <c r="E7" s="22"/>
      <c r="F7" s="21"/>
      <c r="G7" s="22"/>
      <c r="H7" s="21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4"/>
      <c r="U7" s="23"/>
      <c r="V7" s="25"/>
    </row>
    <row r="8" spans="1:22" s="32" customFormat="1" ht="15.75" x14ac:dyDescent="0.25">
      <c r="A8" s="27" t="s">
        <v>39</v>
      </c>
      <c r="B8" s="28">
        <f>24*(1-(1064170839.05/5722166419.11))</f>
        <v>19.536638002714295</v>
      </c>
      <c r="C8" s="29">
        <v>0.7</v>
      </c>
      <c r="D8" s="28">
        <f>(161292998.43-157192374.78)*100/157192374.78</f>
        <v>2.6086657547728191</v>
      </c>
      <c r="E8" s="29">
        <v>1</v>
      </c>
      <c r="F8" s="28">
        <f>892272479.05/1064170839.05*100</f>
        <v>83.846732715072704</v>
      </c>
      <c r="G8" s="29">
        <v>0.3</v>
      </c>
      <c r="H8" s="28">
        <f>100*(44105.47/38039.93)</f>
        <v>115.94519232816675</v>
      </c>
      <c r="I8" s="29">
        <v>0</v>
      </c>
      <c r="J8" s="30">
        <f>1-1/2</f>
        <v>0.5</v>
      </c>
      <c r="K8" s="31">
        <v>0</v>
      </c>
      <c r="L8" s="31" t="s">
        <v>40</v>
      </c>
      <c r="M8" s="31">
        <v>1</v>
      </c>
      <c r="N8" s="31">
        <v>0</v>
      </c>
      <c r="O8" s="31">
        <v>1</v>
      </c>
      <c r="P8" s="31">
        <v>0</v>
      </c>
      <c r="Q8" s="31">
        <v>1</v>
      </c>
      <c r="R8" s="31">
        <v>0</v>
      </c>
      <c r="S8" s="31">
        <v>1</v>
      </c>
      <c r="T8" s="24">
        <f t="shared" ref="T8:T12" si="0">S8+Q8+O8+M8+K8+I8+G8+E8+C8</f>
        <v>6</v>
      </c>
      <c r="U8" s="24">
        <v>0.5</v>
      </c>
      <c r="V8" s="32" t="s">
        <v>44</v>
      </c>
    </row>
    <row r="9" spans="1:22" s="32" customFormat="1" ht="15.75" x14ac:dyDescent="0.25">
      <c r="A9" s="27" t="s">
        <v>41</v>
      </c>
      <c r="B9" s="28">
        <f>18*(1-(496000351.15/5722166419.11))</f>
        <v>16.439750670151145</v>
      </c>
      <c r="C9" s="29">
        <v>0.7</v>
      </c>
      <c r="D9" s="28">
        <f>(23450181.99-27509981.98)*100/27509981.98</f>
        <v>-14.757552342097181</v>
      </c>
      <c r="E9" s="29">
        <v>0</v>
      </c>
      <c r="F9" s="28">
        <f>339405058.91/496000350.15*100</f>
        <v>68.428390989513915</v>
      </c>
      <c r="G9" s="29">
        <v>0</v>
      </c>
      <c r="H9" s="28">
        <f>100*(148.13/286.98)</f>
        <v>51.616837410272488</v>
      </c>
      <c r="I9" s="29">
        <v>1</v>
      </c>
      <c r="J9" s="31">
        <v>0</v>
      </c>
      <c r="K9" s="31">
        <v>1</v>
      </c>
      <c r="L9" s="31" t="s">
        <v>40</v>
      </c>
      <c r="M9" s="31">
        <v>1</v>
      </c>
      <c r="N9" s="31">
        <v>0</v>
      </c>
      <c r="O9" s="31">
        <v>1</v>
      </c>
      <c r="P9" s="31">
        <v>0</v>
      </c>
      <c r="Q9" s="31">
        <v>1</v>
      </c>
      <c r="R9" s="31">
        <v>0</v>
      </c>
      <c r="S9" s="31">
        <v>1</v>
      </c>
      <c r="T9" s="24">
        <f t="shared" si="0"/>
        <v>6.7</v>
      </c>
      <c r="U9" s="24">
        <v>0.62</v>
      </c>
      <c r="V9" s="32" t="s">
        <v>44</v>
      </c>
    </row>
    <row r="10" spans="1:22" s="32" customFormat="1" ht="15.75" x14ac:dyDescent="0.25">
      <c r="A10" s="27" t="s">
        <v>42</v>
      </c>
      <c r="B10" s="28">
        <f>24*(1-(230891966.84/5722166419.11))</f>
        <v>23.031589297079218</v>
      </c>
      <c r="C10" s="29">
        <v>0.5</v>
      </c>
      <c r="D10" s="28">
        <f>(11573395.51-67737855.09)*100/67737855.09</f>
        <v>-82.914434632417894</v>
      </c>
      <c r="E10" s="29">
        <v>0</v>
      </c>
      <c r="F10" s="28">
        <f>229314574.79/230891966.84*100</f>
        <v>99.316826794977629</v>
      </c>
      <c r="G10" s="29">
        <v>1</v>
      </c>
      <c r="H10" s="28">
        <f>100*(0/61.29)</f>
        <v>0</v>
      </c>
      <c r="I10" s="29">
        <v>1</v>
      </c>
      <c r="J10" s="31">
        <v>0</v>
      </c>
      <c r="K10" s="31">
        <v>1</v>
      </c>
      <c r="L10" s="31" t="s">
        <v>40</v>
      </c>
      <c r="M10" s="31">
        <v>1</v>
      </c>
      <c r="N10" s="31">
        <v>0</v>
      </c>
      <c r="O10" s="31">
        <v>1</v>
      </c>
      <c r="P10" s="31">
        <v>0</v>
      </c>
      <c r="Q10" s="31">
        <v>1</v>
      </c>
      <c r="R10" s="31">
        <v>0</v>
      </c>
      <c r="S10" s="31">
        <v>1</v>
      </c>
      <c r="T10" s="24">
        <f t="shared" si="0"/>
        <v>7.5</v>
      </c>
      <c r="U10" s="24">
        <v>0.75</v>
      </c>
      <c r="V10" s="32" t="s">
        <v>67</v>
      </c>
    </row>
    <row r="11" spans="1:22" s="32" customFormat="1" ht="15.75" x14ac:dyDescent="0.25">
      <c r="A11" s="27" t="s">
        <v>43</v>
      </c>
      <c r="B11" s="28">
        <f>3*(1-112089789.13/5722166419.11)</f>
        <v>2.9412339063982866</v>
      </c>
      <c r="C11" s="29">
        <v>1</v>
      </c>
      <c r="D11" s="28">
        <f>(3840129.75-2355501.25)*100/2355501.25</f>
        <v>63.028134669849997</v>
      </c>
      <c r="E11" s="29">
        <v>0</v>
      </c>
      <c r="F11" s="28">
        <f>10906633.51/12089789.13*100</f>
        <v>90.213595892553002</v>
      </c>
      <c r="G11" s="29">
        <v>0.7</v>
      </c>
      <c r="H11" s="28">
        <f>100*(0/1.86)</f>
        <v>0</v>
      </c>
      <c r="I11" s="29">
        <v>1</v>
      </c>
      <c r="J11" s="31">
        <v>0</v>
      </c>
      <c r="K11" s="31">
        <v>1</v>
      </c>
      <c r="L11" s="31" t="s">
        <v>40</v>
      </c>
      <c r="M11" s="31">
        <v>1</v>
      </c>
      <c r="N11" s="31">
        <v>0</v>
      </c>
      <c r="O11" s="31">
        <v>1</v>
      </c>
      <c r="P11" s="64">
        <v>0</v>
      </c>
      <c r="Q11" s="64">
        <v>1</v>
      </c>
      <c r="R11" s="64">
        <v>0</v>
      </c>
      <c r="S11" s="64">
        <v>1</v>
      </c>
      <c r="T11" s="24">
        <f t="shared" si="0"/>
        <v>7.7</v>
      </c>
      <c r="U11" s="23">
        <v>0.78</v>
      </c>
      <c r="V11" s="32" t="s">
        <v>67</v>
      </c>
    </row>
    <row r="12" spans="1:22" s="32" customFormat="1" ht="15.75" x14ac:dyDescent="0.25">
      <c r="A12" s="27" t="s">
        <v>45</v>
      </c>
      <c r="B12" s="28">
        <f>6*(1-(3510633.91/5722166419.11))</f>
        <v>5.9963189110701753</v>
      </c>
      <c r="C12" s="29">
        <v>1</v>
      </c>
      <c r="D12" s="28">
        <f>(1309610.21-2428655.6)*100/2428655.6</f>
        <v>-46.076742622543932</v>
      </c>
      <c r="E12" s="29">
        <v>0</v>
      </c>
      <c r="F12" s="28">
        <f>3364252.3/3510663.91*100</f>
        <v>95.829517898795373</v>
      </c>
      <c r="G12" s="29">
        <v>1</v>
      </c>
      <c r="H12" s="28">
        <f>100*(726.16/1697.71)</f>
        <v>42.772911745822313</v>
      </c>
      <c r="I12" s="29">
        <v>1</v>
      </c>
      <c r="J12" s="31">
        <v>0</v>
      </c>
      <c r="K12" s="31">
        <v>1</v>
      </c>
      <c r="L12" s="31" t="s">
        <v>40</v>
      </c>
      <c r="M12" s="31">
        <v>1</v>
      </c>
      <c r="N12" s="31">
        <v>0</v>
      </c>
      <c r="O12" s="31">
        <v>1</v>
      </c>
      <c r="P12" s="64">
        <v>0</v>
      </c>
      <c r="Q12" s="64">
        <v>1</v>
      </c>
      <c r="R12" s="64">
        <v>0</v>
      </c>
      <c r="S12" s="64">
        <v>1</v>
      </c>
      <c r="T12" s="24">
        <f t="shared" si="0"/>
        <v>8</v>
      </c>
      <c r="U12" s="23">
        <v>0.83</v>
      </c>
      <c r="V12" s="32" t="s">
        <v>67</v>
      </c>
    </row>
    <row r="13" spans="1:22" s="34" customFormat="1" x14ac:dyDescent="0.25">
      <c r="A13" s="33"/>
    </row>
    <row r="14" spans="1:22" ht="15.75" x14ac:dyDescent="0.25">
      <c r="A14" s="62"/>
      <c r="B14" s="60"/>
      <c r="C14" s="60"/>
      <c r="D14" s="60"/>
      <c r="E14" s="60"/>
      <c r="F14" s="60"/>
    </row>
    <row r="15" spans="1:22" ht="15.75" x14ac:dyDescent="0.25">
      <c r="A15" s="62"/>
      <c r="B15" s="60"/>
      <c r="C15" s="60"/>
      <c r="D15" s="60"/>
      <c r="E15" s="60"/>
      <c r="F15" s="60"/>
    </row>
    <row r="16" spans="1:22" ht="15.75" x14ac:dyDescent="0.25">
      <c r="A16" s="62"/>
      <c r="B16" s="60"/>
      <c r="C16" s="60"/>
      <c r="D16" s="60"/>
      <c r="E16" s="60"/>
      <c r="F16" s="60"/>
    </row>
    <row r="17" spans="1:6" ht="15.75" x14ac:dyDescent="0.25">
      <c r="A17" s="62"/>
      <c r="B17" s="60"/>
      <c r="C17" s="60"/>
      <c r="D17" s="60"/>
      <c r="E17" s="60"/>
      <c r="F17" s="60"/>
    </row>
    <row r="18" spans="1:6" ht="15.75" x14ac:dyDescent="0.25">
      <c r="A18" s="62"/>
      <c r="B18" s="60"/>
      <c r="C18" s="60"/>
      <c r="D18" s="60"/>
      <c r="E18" s="60"/>
      <c r="F18" s="60"/>
    </row>
    <row r="19" spans="1:6" ht="15.75" x14ac:dyDescent="0.25">
      <c r="A19" s="63"/>
      <c r="B19" s="60"/>
      <c r="C19" s="60"/>
      <c r="D19" s="60"/>
      <c r="E19" s="60"/>
      <c r="F19" s="60"/>
    </row>
    <row r="20" spans="1:6" ht="15.75" x14ac:dyDescent="0.25">
      <c r="A20" s="62"/>
      <c r="B20" s="60"/>
      <c r="C20" s="60"/>
      <c r="D20" s="60"/>
      <c r="E20" s="60"/>
      <c r="F20" s="60"/>
    </row>
    <row r="21" spans="1:6" ht="15.75" x14ac:dyDescent="0.25">
      <c r="A21" s="62"/>
      <c r="B21" s="60"/>
      <c r="C21" s="60"/>
      <c r="D21" s="60"/>
      <c r="E21" s="60"/>
      <c r="F21" s="60"/>
    </row>
    <row r="22" spans="1:6" ht="15.75" x14ac:dyDescent="0.25">
      <c r="A22" s="62"/>
      <c r="B22" s="60"/>
      <c r="C22" s="60"/>
      <c r="D22" s="60"/>
      <c r="E22" s="60"/>
      <c r="F22" s="60"/>
    </row>
    <row r="23" spans="1:6" ht="15.75" x14ac:dyDescent="0.25">
      <c r="A23" s="62"/>
      <c r="B23" s="60"/>
      <c r="C23" s="60"/>
      <c r="D23" s="60"/>
      <c r="E23" s="60"/>
      <c r="F23" s="60"/>
    </row>
    <row r="24" spans="1:6" ht="15.75" x14ac:dyDescent="0.25">
      <c r="A24" s="62"/>
      <c r="B24" s="60"/>
      <c r="C24" s="60"/>
      <c r="D24" s="60"/>
      <c r="E24" s="60"/>
      <c r="F24" s="60"/>
    </row>
    <row r="25" spans="1:6" ht="15.75" x14ac:dyDescent="0.25">
      <c r="A25" s="62"/>
      <c r="B25" s="60"/>
      <c r="C25" s="60"/>
      <c r="D25" s="60"/>
      <c r="E25" s="60"/>
      <c r="F25" s="60"/>
    </row>
    <row r="26" spans="1:6" ht="15.75" x14ac:dyDescent="0.25">
      <c r="A26" s="62"/>
      <c r="B26" s="60"/>
      <c r="C26" s="60"/>
      <c r="D26" s="60"/>
      <c r="E26" s="60"/>
      <c r="F26" s="60"/>
    </row>
    <row r="27" spans="1:6" ht="15.75" x14ac:dyDescent="0.25">
      <c r="A27" s="62"/>
      <c r="B27" s="60"/>
      <c r="C27" s="60"/>
      <c r="D27" s="60"/>
      <c r="E27" s="60"/>
      <c r="F27" s="60"/>
    </row>
    <row r="28" spans="1:6" ht="15.75" x14ac:dyDescent="0.25">
      <c r="A28" s="62"/>
      <c r="B28" s="60"/>
      <c r="C28" s="60"/>
      <c r="D28" s="60"/>
      <c r="E28" s="60"/>
      <c r="F28" s="60"/>
    </row>
    <row r="29" spans="1:6" ht="15.75" x14ac:dyDescent="0.25">
      <c r="A29" s="62"/>
      <c r="B29" s="60"/>
      <c r="C29" s="60"/>
      <c r="D29" s="60"/>
      <c r="E29" s="60"/>
      <c r="F29" s="60"/>
    </row>
  </sheetData>
  <mergeCells count="15">
    <mergeCell ref="T3:U3"/>
    <mergeCell ref="A1:L1"/>
    <mergeCell ref="B3:K3"/>
    <mergeCell ref="L3:M3"/>
    <mergeCell ref="N3:O3"/>
    <mergeCell ref="P3:S3"/>
    <mergeCell ref="N4:O4"/>
    <mergeCell ref="P4:Q4"/>
    <mergeCell ref="R4:S4"/>
    <mergeCell ref="B4:C4"/>
    <mergeCell ref="D4:E4"/>
    <mergeCell ref="F4:G4"/>
    <mergeCell ref="H4:I4"/>
    <mergeCell ref="J4:K4"/>
    <mergeCell ref="L4:M4"/>
  </mergeCells>
  <pageMargins left="0.11811023622047245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3" zoomScaleNormal="100" workbookViewId="0">
      <selection activeCell="F7" sqref="F7"/>
    </sheetView>
  </sheetViews>
  <sheetFormatPr defaultRowHeight="15" x14ac:dyDescent="0.25"/>
  <cols>
    <col min="1" max="1" width="56.140625" customWidth="1"/>
    <col min="2" max="2" width="12.42578125" customWidth="1"/>
    <col min="3" max="3" width="13.42578125" customWidth="1"/>
    <col min="4" max="4" width="13.85546875" customWidth="1"/>
    <col min="5" max="5" width="10.5703125" customWidth="1"/>
  </cols>
  <sheetData>
    <row r="1" spans="1:14" ht="32.25" customHeight="1" x14ac:dyDescent="0.25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x14ac:dyDescent="0.25">
      <c r="A2" s="3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" customHeight="1" x14ac:dyDescent="0.25">
      <c r="A3" s="91" t="s">
        <v>47</v>
      </c>
      <c r="B3" s="96" t="s">
        <v>48</v>
      </c>
      <c r="C3" s="96" t="s">
        <v>49</v>
      </c>
      <c r="D3" s="96" t="s">
        <v>50</v>
      </c>
      <c r="E3" s="98" t="s">
        <v>51</v>
      </c>
      <c r="F3" s="99"/>
      <c r="G3" s="94" t="s">
        <v>52</v>
      </c>
      <c r="H3" s="95"/>
      <c r="I3" s="94" t="s">
        <v>53</v>
      </c>
      <c r="J3" s="95"/>
      <c r="K3" s="94" t="s">
        <v>54</v>
      </c>
      <c r="L3" s="95"/>
      <c r="M3" s="94" t="s">
        <v>55</v>
      </c>
      <c r="N3" s="95"/>
    </row>
    <row r="4" spans="1:14" ht="78.75" x14ac:dyDescent="0.25">
      <c r="A4" s="93"/>
      <c r="B4" s="97"/>
      <c r="C4" s="97"/>
      <c r="D4" s="97"/>
      <c r="E4" s="35" t="s">
        <v>56</v>
      </c>
      <c r="F4" s="36" t="s">
        <v>37</v>
      </c>
      <c r="G4" s="35" t="s">
        <v>56</v>
      </c>
      <c r="H4" s="36" t="s">
        <v>37</v>
      </c>
      <c r="I4" s="35" t="s">
        <v>56</v>
      </c>
      <c r="J4" s="36" t="s">
        <v>37</v>
      </c>
      <c r="K4" s="35" t="s">
        <v>56</v>
      </c>
      <c r="L4" s="36" t="s">
        <v>37</v>
      </c>
      <c r="M4" s="35" t="s">
        <v>56</v>
      </c>
      <c r="N4" s="36" t="s">
        <v>37</v>
      </c>
    </row>
    <row r="5" spans="1:14" ht="31.5" x14ac:dyDescent="0.25">
      <c r="A5" s="47" t="s">
        <v>57</v>
      </c>
      <c r="B5" s="37">
        <v>60</v>
      </c>
      <c r="C5" s="38">
        <f>B5*D5/100</f>
        <v>3</v>
      </c>
      <c r="D5" s="37">
        <v>5</v>
      </c>
      <c r="E5" s="38">
        <f>B5*F5/100</f>
        <v>1.2</v>
      </c>
      <c r="F5" s="37">
        <f>SUM(F6:F10)</f>
        <v>2</v>
      </c>
      <c r="G5" s="38">
        <f>B5*H5/100</f>
        <v>1.62</v>
      </c>
      <c r="H5" s="37">
        <f>SUM(H6:H10)</f>
        <v>2.7</v>
      </c>
      <c r="I5" s="38">
        <f>B5*J5/100</f>
        <v>2.1</v>
      </c>
      <c r="J5" s="37">
        <f>SUM(J6:J10)</f>
        <v>3.5</v>
      </c>
      <c r="K5" s="38">
        <f>L5*B5/100</f>
        <v>2.2200000000000002</v>
      </c>
      <c r="L5" s="37">
        <f t="shared" ref="L5" si="0">SUM(L6:L10)</f>
        <v>3.7</v>
      </c>
      <c r="M5" s="38">
        <f>N5*B5/100</f>
        <v>2.4</v>
      </c>
      <c r="N5" s="37">
        <f t="shared" ref="N5" si="1">SUM(N6:N10)</f>
        <v>4</v>
      </c>
    </row>
    <row r="6" spans="1:14" ht="27.75" customHeight="1" x14ac:dyDescent="0.25">
      <c r="A6" s="39" t="s">
        <v>6</v>
      </c>
      <c r="B6" s="40"/>
      <c r="C6" s="40"/>
      <c r="D6" s="40"/>
      <c r="E6" s="88"/>
      <c r="F6" s="41">
        <v>0.7</v>
      </c>
      <c r="G6" s="40"/>
      <c r="H6" s="41">
        <v>0.7</v>
      </c>
      <c r="I6" s="40"/>
      <c r="J6" s="42">
        <v>0.5</v>
      </c>
      <c r="K6" s="40"/>
      <c r="L6" s="42">
        <v>1</v>
      </c>
      <c r="M6" s="40"/>
      <c r="N6" s="42">
        <v>1</v>
      </c>
    </row>
    <row r="7" spans="1:14" ht="25.5" customHeight="1" x14ac:dyDescent="0.25">
      <c r="A7" s="39" t="s">
        <v>7</v>
      </c>
      <c r="B7" s="40"/>
      <c r="C7" s="40"/>
      <c r="D7" s="40"/>
      <c r="E7" s="89"/>
      <c r="F7" s="41">
        <v>1</v>
      </c>
      <c r="G7" s="40"/>
      <c r="H7" s="41">
        <v>0</v>
      </c>
      <c r="I7" s="40"/>
      <c r="J7" s="42">
        <v>0</v>
      </c>
      <c r="K7" s="40"/>
      <c r="L7" s="42">
        <v>0</v>
      </c>
      <c r="M7" s="40"/>
      <c r="N7" s="42">
        <v>0</v>
      </c>
    </row>
    <row r="8" spans="1:14" ht="55.5" customHeight="1" x14ac:dyDescent="0.25">
      <c r="A8" s="39" t="s">
        <v>8</v>
      </c>
      <c r="B8" s="40"/>
      <c r="C8" s="40"/>
      <c r="D8" s="40"/>
      <c r="E8" s="89"/>
      <c r="F8" s="41">
        <v>0.3</v>
      </c>
      <c r="G8" s="40"/>
      <c r="H8" s="41">
        <v>0</v>
      </c>
      <c r="I8" s="40"/>
      <c r="J8" s="42">
        <v>1</v>
      </c>
      <c r="K8" s="40"/>
      <c r="L8" s="42">
        <v>0.7</v>
      </c>
      <c r="M8" s="40"/>
      <c r="N8" s="42">
        <v>1</v>
      </c>
    </row>
    <row r="9" spans="1:14" ht="74.25" customHeight="1" x14ac:dyDescent="0.25">
      <c r="A9" s="39" t="s">
        <v>9</v>
      </c>
      <c r="B9" s="40"/>
      <c r="C9" s="40"/>
      <c r="D9" s="40"/>
      <c r="E9" s="89"/>
      <c r="F9" s="41">
        <v>0</v>
      </c>
      <c r="G9" s="40"/>
      <c r="H9" s="41">
        <v>1</v>
      </c>
      <c r="I9" s="40"/>
      <c r="J9" s="42">
        <v>1</v>
      </c>
      <c r="K9" s="40"/>
      <c r="L9" s="42">
        <v>1</v>
      </c>
      <c r="M9" s="40"/>
      <c r="N9" s="42">
        <v>1</v>
      </c>
    </row>
    <row r="10" spans="1:14" ht="101.25" customHeight="1" x14ac:dyDescent="0.25">
      <c r="A10" s="43" t="s">
        <v>58</v>
      </c>
      <c r="B10" s="44"/>
      <c r="C10" s="44"/>
      <c r="D10" s="44"/>
      <c r="E10" s="90"/>
      <c r="F10" s="36">
        <v>0</v>
      </c>
      <c r="G10" s="44"/>
      <c r="H10" s="45">
        <v>1</v>
      </c>
      <c r="I10" s="46"/>
      <c r="J10" s="45">
        <v>1</v>
      </c>
      <c r="K10" s="46"/>
      <c r="L10" s="45">
        <v>1</v>
      </c>
      <c r="M10" s="46"/>
      <c r="N10" s="45">
        <v>1</v>
      </c>
    </row>
    <row r="11" spans="1:14" ht="69.75" customHeight="1" x14ac:dyDescent="0.25">
      <c r="A11" s="47" t="s">
        <v>59</v>
      </c>
      <c r="B11" s="37">
        <v>10</v>
      </c>
      <c r="C11" s="37">
        <f>B11*D11/100</f>
        <v>0.1</v>
      </c>
      <c r="D11" s="37">
        <v>1</v>
      </c>
      <c r="E11" s="37">
        <f>B11*F11/100</f>
        <v>0.1</v>
      </c>
      <c r="F11" s="37">
        <f>F12</f>
        <v>1</v>
      </c>
      <c r="G11" s="37">
        <f>B11*H11/100</f>
        <v>0.1</v>
      </c>
      <c r="H11" s="37">
        <f>SUM(H12:H12)</f>
        <v>1</v>
      </c>
      <c r="I11" s="37">
        <f>B11*J11/100</f>
        <v>0.1</v>
      </c>
      <c r="J11" s="37">
        <f>SUM(J12:J12)</f>
        <v>1</v>
      </c>
      <c r="K11" s="37">
        <f>L11*B11/100</f>
        <v>0.1</v>
      </c>
      <c r="L11" s="37">
        <f t="shared" ref="L11" si="2">SUM(L12:L12)</f>
        <v>1</v>
      </c>
      <c r="M11" s="37">
        <f>N11*B11/100</f>
        <v>0.1</v>
      </c>
      <c r="N11" s="37">
        <f t="shared" ref="N11" si="3">SUM(N12:N12)</f>
        <v>1</v>
      </c>
    </row>
    <row r="12" spans="1:14" ht="40.5" customHeight="1" x14ac:dyDescent="0.25">
      <c r="A12" s="43" t="s">
        <v>11</v>
      </c>
      <c r="B12" s="44"/>
      <c r="C12" s="44"/>
      <c r="D12" s="44"/>
      <c r="E12" s="48"/>
      <c r="F12" s="36">
        <v>1</v>
      </c>
      <c r="G12" s="44"/>
      <c r="H12" s="49">
        <v>1</v>
      </c>
      <c r="I12" s="44"/>
      <c r="J12" s="50">
        <v>1</v>
      </c>
      <c r="K12" s="44"/>
      <c r="L12" s="50">
        <v>1</v>
      </c>
      <c r="M12" s="44"/>
      <c r="N12" s="50">
        <v>1</v>
      </c>
    </row>
    <row r="13" spans="1:14" ht="31.5" x14ac:dyDescent="0.25">
      <c r="A13" s="47" t="s">
        <v>60</v>
      </c>
      <c r="B13" s="37">
        <v>10</v>
      </c>
      <c r="C13" s="37">
        <f>B13*D13/100</f>
        <v>0.1</v>
      </c>
      <c r="D13" s="37">
        <v>1</v>
      </c>
      <c r="E13" s="37">
        <f>B13*F13/100</f>
        <v>0.1</v>
      </c>
      <c r="F13" s="37">
        <f>F14</f>
        <v>1</v>
      </c>
      <c r="G13" s="37">
        <f>B13*H13/100</f>
        <v>0.1</v>
      </c>
      <c r="H13" s="37">
        <f>H14</f>
        <v>1</v>
      </c>
      <c r="I13" s="37">
        <f>B13*J13/100</f>
        <v>0.1</v>
      </c>
      <c r="J13" s="37">
        <f>J14</f>
        <v>1</v>
      </c>
      <c r="K13" s="37">
        <f>L13*B13/100</f>
        <v>0.1</v>
      </c>
      <c r="L13" s="37">
        <f t="shared" ref="L13" si="4">L14</f>
        <v>1</v>
      </c>
      <c r="M13" s="37">
        <f>N13*B13/100</f>
        <v>0.1</v>
      </c>
      <c r="N13" s="37">
        <f t="shared" ref="N13" si="5">N14</f>
        <v>1</v>
      </c>
    </row>
    <row r="14" spans="1:14" ht="31.5" x14ac:dyDescent="0.25">
      <c r="A14" s="43" t="s">
        <v>12</v>
      </c>
      <c r="B14" s="48"/>
      <c r="C14" s="48"/>
      <c r="D14" s="48"/>
      <c r="E14" s="48"/>
      <c r="F14" s="49">
        <v>1</v>
      </c>
      <c r="G14" s="48"/>
      <c r="H14" s="49">
        <v>1</v>
      </c>
      <c r="I14" s="48"/>
      <c r="J14" s="50">
        <v>1</v>
      </c>
      <c r="K14" s="48"/>
      <c r="L14" s="50">
        <v>1</v>
      </c>
      <c r="M14" s="48"/>
      <c r="N14" s="50">
        <v>1</v>
      </c>
    </row>
    <row r="15" spans="1:14" ht="65.25" customHeight="1" x14ac:dyDescent="0.25">
      <c r="A15" s="47" t="s">
        <v>61</v>
      </c>
      <c r="B15" s="51">
        <v>20</v>
      </c>
      <c r="C15" s="51">
        <f>B15*D15/100</f>
        <v>0.4</v>
      </c>
      <c r="D15" s="51">
        <v>2</v>
      </c>
      <c r="E15" s="51">
        <f>B15*F15/100</f>
        <v>0.4</v>
      </c>
      <c r="F15" s="51">
        <f>F16+F17</f>
        <v>2</v>
      </c>
      <c r="G15" s="51">
        <f>B15*H15/100</f>
        <v>0.4</v>
      </c>
      <c r="H15" s="37">
        <f>H16+H17</f>
        <v>2</v>
      </c>
      <c r="I15" s="51">
        <f>B15*J15/100</f>
        <v>0.4</v>
      </c>
      <c r="J15" s="37">
        <f>J16+J17</f>
        <v>2</v>
      </c>
      <c r="K15" s="51">
        <f>L15*B15/100</f>
        <v>0.4</v>
      </c>
      <c r="L15" s="37">
        <f t="shared" ref="L15" si="6">L16+L17</f>
        <v>2</v>
      </c>
      <c r="M15" s="51">
        <f>N15*B15/100</f>
        <v>0.4</v>
      </c>
      <c r="N15" s="37">
        <f t="shared" ref="N15" si="7">N16+N17</f>
        <v>2</v>
      </c>
    </row>
    <row r="16" spans="1:14" ht="54.75" customHeight="1" x14ac:dyDescent="0.25">
      <c r="A16" s="43" t="s">
        <v>62</v>
      </c>
      <c r="B16" s="91"/>
      <c r="C16" s="91"/>
      <c r="D16" s="91"/>
      <c r="E16" s="91"/>
      <c r="F16" s="36">
        <v>1</v>
      </c>
      <c r="G16" s="52"/>
      <c r="H16" s="49">
        <v>1</v>
      </c>
      <c r="I16" s="52"/>
      <c r="J16" s="49">
        <v>1</v>
      </c>
      <c r="K16" s="52"/>
      <c r="L16" s="49">
        <v>1</v>
      </c>
      <c r="M16" s="52"/>
      <c r="N16" s="49">
        <v>1</v>
      </c>
    </row>
    <row r="17" spans="1:14" ht="39.75" customHeight="1" x14ac:dyDescent="0.25">
      <c r="A17" s="43" t="s">
        <v>63</v>
      </c>
      <c r="B17" s="92"/>
      <c r="C17" s="93"/>
      <c r="D17" s="93"/>
      <c r="E17" s="92"/>
      <c r="F17" s="36">
        <v>1</v>
      </c>
      <c r="G17" s="52"/>
      <c r="H17" s="49">
        <v>1</v>
      </c>
      <c r="I17" s="52"/>
      <c r="J17" s="49">
        <v>1</v>
      </c>
      <c r="K17" s="52"/>
      <c r="L17" s="49">
        <v>1</v>
      </c>
      <c r="M17" s="52"/>
      <c r="N17" s="49">
        <v>1</v>
      </c>
    </row>
    <row r="18" spans="1:14" ht="15.75" x14ac:dyDescent="0.25">
      <c r="A18" s="53" t="s">
        <v>64</v>
      </c>
      <c r="B18" s="54">
        <f>B15+B13+B11+B5</f>
        <v>100</v>
      </c>
      <c r="C18" s="55">
        <f>C15+C13+C11+C5</f>
        <v>3.6</v>
      </c>
      <c r="D18" s="54">
        <f>D15+D13+D11+D5</f>
        <v>9</v>
      </c>
      <c r="E18" s="55">
        <f>E15+E13+E11+E5</f>
        <v>1.7999999999999998</v>
      </c>
      <c r="F18" s="56">
        <f>F15+F13+F11+F5</f>
        <v>6</v>
      </c>
      <c r="G18" s="56">
        <f t="shared" ref="G18:N18" si="8">G15+G13+G11+G5</f>
        <v>2.2200000000000002</v>
      </c>
      <c r="H18" s="56">
        <f t="shared" si="8"/>
        <v>6.7</v>
      </c>
      <c r="I18" s="56">
        <f t="shared" si="8"/>
        <v>2.7</v>
      </c>
      <c r="J18" s="56">
        <f t="shared" si="8"/>
        <v>7.5</v>
      </c>
      <c r="K18" s="56">
        <f t="shared" si="8"/>
        <v>2.8200000000000003</v>
      </c>
      <c r="L18" s="56">
        <f t="shared" si="8"/>
        <v>7.7</v>
      </c>
      <c r="M18" s="56">
        <f t="shared" si="8"/>
        <v>3</v>
      </c>
      <c r="N18" s="56">
        <f t="shared" si="8"/>
        <v>8</v>
      </c>
    </row>
    <row r="19" spans="1:14" ht="15.75" x14ac:dyDescent="0.25">
      <c r="A19" s="53" t="s">
        <v>65</v>
      </c>
      <c r="B19" s="57"/>
      <c r="C19" s="87">
        <f>C18/E22</f>
        <v>1</v>
      </c>
      <c r="D19" s="87"/>
      <c r="E19" s="87">
        <f>E18/E22</f>
        <v>0.49999999999999994</v>
      </c>
      <c r="F19" s="87"/>
      <c r="G19" s="85">
        <f>G18/E22</f>
        <v>0.6166666666666667</v>
      </c>
      <c r="H19" s="86"/>
      <c r="I19" s="85">
        <f>I18/E22</f>
        <v>0.75</v>
      </c>
      <c r="J19" s="86"/>
      <c r="K19" s="85">
        <f>K18/E22</f>
        <v>0.78333333333333344</v>
      </c>
      <c r="L19" s="86"/>
      <c r="M19" s="85">
        <f>M18/E22</f>
        <v>0.83333333333333326</v>
      </c>
      <c r="N19" s="86"/>
    </row>
    <row r="20" spans="1:14" ht="15.75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75" x14ac:dyDescent="0.25">
      <c r="A22" s="59" t="s">
        <v>66</v>
      </c>
      <c r="B22" s="60"/>
      <c r="C22" s="60"/>
      <c r="D22" s="60"/>
      <c r="E22" s="61">
        <f>(60*5/100)+(10*1/100)+(10*1/100)+(20*2/100)</f>
        <v>3.6</v>
      </c>
      <c r="F22" s="60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60"/>
      <c r="B23" s="60"/>
      <c r="C23" s="61"/>
      <c r="D23" s="60"/>
      <c r="E23" s="2"/>
      <c r="F23" s="60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62"/>
      <c r="B24" s="60"/>
      <c r="C24" s="60"/>
      <c r="D24" s="60"/>
      <c r="E24" s="60"/>
      <c r="F24" s="60"/>
      <c r="G24" s="2"/>
      <c r="H24" s="2"/>
      <c r="I24" s="2"/>
      <c r="J24" s="2"/>
      <c r="K24" s="2"/>
      <c r="L24" s="2"/>
      <c r="M24" s="2"/>
      <c r="N24" s="2"/>
    </row>
  </sheetData>
  <mergeCells count="21">
    <mergeCell ref="G3:H3"/>
    <mergeCell ref="I3:J3"/>
    <mergeCell ref="K3:L3"/>
    <mergeCell ref="A1:N1"/>
    <mergeCell ref="M3:N3"/>
    <mergeCell ref="A3:A4"/>
    <mergeCell ref="B3:B4"/>
    <mergeCell ref="C3:C4"/>
    <mergeCell ref="D3:D4"/>
    <mergeCell ref="E3:F3"/>
    <mergeCell ref="E6:E10"/>
    <mergeCell ref="B16:B17"/>
    <mergeCell ref="C16:C17"/>
    <mergeCell ref="D16:D17"/>
    <mergeCell ref="E16:E17"/>
    <mergeCell ref="M19:N19"/>
    <mergeCell ref="C19:D19"/>
    <mergeCell ref="E19:F19"/>
    <mergeCell ref="G19:H19"/>
    <mergeCell ref="I19:J19"/>
    <mergeCell ref="K19:L19"/>
  </mergeCells>
  <pageMargins left="0.31496062992125984" right="0.31496062992125984" top="0.59055118110236227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показателей</vt:lpstr>
      <vt:lpstr>Отчет АМО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2021-05-31T02:55:09Z</dcterms:modified>
</cp:coreProperties>
</file>