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135" activeTab="1"/>
  </bookViews>
  <sheets>
    <sheet name="Расчет показателей МУК" sheetId="1" r:id="rId1"/>
    <sheet name="Отчет о результатах мониторинга" sheetId="2" r:id="rId2"/>
  </sheets>
  <calcPr calcId="152511"/>
</workbook>
</file>

<file path=xl/calcChain.xml><?xml version="1.0" encoding="utf-8"?>
<calcChain xmlns="http://schemas.openxmlformats.org/spreadsheetml/2006/main">
  <c r="O18" i="2" l="1"/>
  <c r="J10" i="1"/>
  <c r="H17" i="1"/>
  <c r="F17" i="1"/>
  <c r="D17" i="1"/>
  <c r="B17" i="1"/>
  <c r="H16" i="1"/>
  <c r="F16" i="1"/>
  <c r="B16" i="1"/>
  <c r="H15" i="1"/>
  <c r="F15" i="1"/>
  <c r="D15" i="1"/>
  <c r="B15" i="1"/>
  <c r="H14" i="1"/>
  <c r="F14" i="1"/>
  <c r="D14" i="1"/>
  <c r="B14" i="1"/>
  <c r="H13" i="1"/>
  <c r="F13" i="1"/>
  <c r="D13" i="1"/>
  <c r="B13" i="1"/>
  <c r="H12" i="1"/>
  <c r="F12" i="1"/>
  <c r="D12" i="1"/>
  <c r="B12" i="1"/>
  <c r="H11" i="1"/>
  <c r="F11" i="1"/>
  <c r="D11" i="1"/>
  <c r="B11" i="1"/>
  <c r="H10" i="1"/>
  <c r="F10" i="1"/>
  <c r="D10" i="1"/>
  <c r="B10" i="1"/>
  <c r="H9" i="1"/>
  <c r="F9" i="1"/>
  <c r="D9" i="1"/>
  <c r="B9" i="1"/>
  <c r="T10" i="1" l="1"/>
  <c r="E22" i="2" l="1"/>
  <c r="D18" i="2"/>
  <c r="B18" i="2"/>
  <c r="V15" i="2"/>
  <c r="U15" i="2" s="1"/>
  <c r="T15" i="2"/>
  <c r="S15" i="2" s="1"/>
  <c r="R15" i="2"/>
  <c r="Q15" i="2"/>
  <c r="P15" i="2"/>
  <c r="O15" i="2" s="1"/>
  <c r="N15" i="2"/>
  <c r="L15" i="2"/>
  <c r="K15" i="2" s="1"/>
  <c r="J15" i="2"/>
  <c r="I15" i="2" s="1"/>
  <c r="H15" i="2"/>
  <c r="G15" i="2" s="1"/>
  <c r="F15" i="2"/>
  <c r="E15" i="2" s="1"/>
  <c r="C15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C13" i="2"/>
  <c r="V11" i="2"/>
  <c r="U11" i="2" s="1"/>
  <c r="T11" i="2"/>
  <c r="S11" i="2"/>
  <c r="R11" i="2"/>
  <c r="Q11" i="2" s="1"/>
  <c r="P11" i="2"/>
  <c r="O11" i="2" s="1"/>
  <c r="N11" i="2"/>
  <c r="M11" i="2" s="1"/>
  <c r="L11" i="2"/>
  <c r="K11" i="2"/>
  <c r="J11" i="2"/>
  <c r="I11" i="2" s="1"/>
  <c r="H11" i="2"/>
  <c r="G11" i="2"/>
  <c r="F11" i="2"/>
  <c r="E11" i="2" s="1"/>
  <c r="C11" i="2"/>
  <c r="V5" i="2"/>
  <c r="U5" i="2" s="1"/>
  <c r="T5" i="2"/>
  <c r="S5" i="2" s="1"/>
  <c r="R5" i="2"/>
  <c r="Q5" i="2" s="1"/>
  <c r="P5" i="2"/>
  <c r="O5" i="2" s="1"/>
  <c r="N5" i="2"/>
  <c r="M5" i="2" s="1"/>
  <c r="L5" i="2"/>
  <c r="K5" i="2" s="1"/>
  <c r="J5" i="2"/>
  <c r="I5" i="2" s="1"/>
  <c r="H5" i="2"/>
  <c r="G5" i="2" s="1"/>
  <c r="F5" i="2"/>
  <c r="E5" i="2" s="1"/>
  <c r="C5" i="2"/>
  <c r="N18" i="2" l="1"/>
  <c r="J18" i="2"/>
  <c r="I18" i="2"/>
  <c r="I19" i="2" s="1"/>
  <c r="C18" i="2"/>
  <c r="C19" i="2" s="1"/>
  <c r="S18" i="2"/>
  <c r="O19" i="2"/>
  <c r="F18" i="2"/>
  <c r="K18" i="2"/>
  <c r="K19" i="2" s="1"/>
  <c r="V18" i="2"/>
  <c r="G18" i="2"/>
  <c r="G19" i="2" s="1"/>
  <c r="M15" i="2"/>
  <c r="M18" i="2" s="1"/>
  <c r="M19" i="2" s="1"/>
  <c r="R18" i="2"/>
  <c r="S19" i="2"/>
  <c r="E18" i="2"/>
  <c r="E19" i="2" s="1"/>
  <c r="U18" i="2"/>
  <c r="U19" i="2" s="1"/>
  <c r="Q18" i="2"/>
  <c r="Q19" i="2" s="1"/>
  <c r="H18" i="2"/>
  <c r="L18" i="2"/>
  <c r="P18" i="2"/>
  <c r="T18" i="2"/>
  <c r="T17" i="1"/>
  <c r="T16" i="1"/>
  <c r="T15" i="1"/>
  <c r="T14" i="1"/>
  <c r="T13" i="1"/>
  <c r="T12" i="1"/>
  <c r="T11" i="1"/>
  <c r="T9" i="1"/>
</calcChain>
</file>

<file path=xl/sharedStrings.xml><?xml version="1.0" encoding="utf-8"?>
<sst xmlns="http://schemas.openxmlformats.org/spreadsheetml/2006/main" count="121" uniqueCount="70">
  <si>
    <t>ПОКАЗАТЕЛИ ДЛЯ ОЦЕНКИ КАЧЕСТВА ФИНАНСОВОГО МЕНЕДЖМЕНТА ПОДВЕДОМСТВЕННЫХ УЧРЕЖДЕНИЙ ГРБС "МЕЖПОСЕЛЕНЧЕСКОЕ УПРАВЛЕНИЕ КУЛЬТУРЫ"</t>
  </si>
  <si>
    <t>1. ПОКАЗАТЕЛТИ КАЧЕСТВА УПРАВЛЕНИЯ РАСХОДАМИ</t>
  </si>
  <si>
    <t xml:space="preserve">3. ПОКАЗАТЕЛИ
КАЧЕСТВА ВЕДЕНИЯ УЧЕТА И СОСТАВЛЕНИЯ БЮДЖЕТНОЙ ОТЧЕТНОСТИ
</t>
  </si>
  <si>
    <t>4. КАЧЕСТВО УПРАВЛЕНИЯ АКТИВАМИ</t>
  </si>
  <si>
    <t>5. ПОКАЗАТЕЛИ КАЧЕСТВА ОРГАНИЗАЦИИ И ОСУЩЕСТВЛЕНИЯ ФИНАНСОВОГО КОНТРОЛЯ</t>
  </si>
  <si>
    <t>6. РЕЗУЛЬТАТ</t>
  </si>
  <si>
    <t>Качественное планирование расходов (Р1)</t>
  </si>
  <si>
    <t>Равномерность расходов (Р2)</t>
  </si>
  <si>
    <t>Доля неисполненных на конец отчетного года бюджетных ассигнований (Р3)</t>
  </si>
  <si>
    <t>Изменение дебиторской задолженности ГРБС и муниципальных подведомственных ему учреждений в отчетном периоде по сравнению с началом года (Р4)</t>
  </si>
  <si>
    <t>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 (Р14)</t>
  </si>
  <si>
    <t>Достоверность бюджетной отчетности</t>
  </si>
  <si>
    <t>Доля недостач и хищений денежных средств и материальных ценностей</t>
  </si>
  <si>
    <t>Неправомерное использование бюджетных средств, в том числе нецелевое использование бюджетных средств (* в случае, если проверка в отчетном году не проводилась, применяется оценка показателя равная 1)</t>
  </si>
  <si>
    <t>Несоблюдение правил планирования закупок (* в случае, если проверка в отчетном году не проводилась, применяется оценка показателя равная 1)</t>
  </si>
  <si>
    <t xml:space="preserve">Итоговая оценка </t>
  </si>
  <si>
    <t>Рейтинг</t>
  </si>
  <si>
    <t>Расчет показателя</t>
  </si>
  <si>
    <t>Р1=КР*(1-G/B)</t>
  </si>
  <si>
    <t>оценка показателя Р1</t>
  </si>
  <si>
    <t>Р2=(Е-Еср)*100/Еср</t>
  </si>
  <si>
    <t>оценка показателя Р2</t>
  </si>
  <si>
    <t>P3=Е/Д*100</t>
  </si>
  <si>
    <t>оценка показателя Р3</t>
  </si>
  <si>
    <t>Р4=100*(Д.з. отч.п/Д.з. н.г.)</t>
  </si>
  <si>
    <t>оценка показателя Р4</t>
  </si>
  <si>
    <t>P14=Sv/E</t>
  </si>
  <si>
    <t>оценка показателя Р14</t>
  </si>
  <si>
    <t>Р17 наличие/отсутствие</t>
  </si>
  <si>
    <t>оценка показателя Р17</t>
  </si>
  <si>
    <t xml:space="preserve">      Р20= 100 T / (O + M),</t>
  </si>
  <si>
    <t>оценка показателя Р20</t>
  </si>
  <si>
    <t>P22 = Qz,</t>
  </si>
  <si>
    <t>оценка показателя Р22</t>
  </si>
  <si>
    <t>P23 = Qz,</t>
  </si>
  <si>
    <t>оценка показателя Р23</t>
  </si>
  <si>
    <t xml:space="preserve">единица измерения </t>
  </si>
  <si>
    <t>балл</t>
  </si>
  <si>
    <t>ГРБС 2 МКУ "Межпоселенческое управление культуры"</t>
  </si>
  <si>
    <t>МКУ МУК</t>
  </si>
  <si>
    <t>отсутствие</t>
  </si>
  <si>
    <t>удовлетворительно</t>
  </si>
  <si>
    <t>МКУ "МИБС"</t>
  </si>
  <si>
    <t>МБУ ДО "ДШИ" г.Мирного</t>
  </si>
  <si>
    <t>МБУ ДО "ДШИ" г.Удачного</t>
  </si>
  <si>
    <t>МБУ ДО "ДШИ" п. Айхал</t>
  </si>
  <si>
    <t>МБУ ДО "ДШИ" п. Чернышевский</t>
  </si>
  <si>
    <t>хорошо</t>
  </si>
  <si>
    <t>МБУ ДО "ДШИ" п.Светлый</t>
  </si>
  <si>
    <t>МБУ ДО "ДМШ" п.Алмазный</t>
  </si>
  <si>
    <t>МБУ ДО "ДШИ" с.Арылах</t>
  </si>
  <si>
    <t>ОТЧЕТ О РЕЗУЛЬТАТАХ МОНИТОРИНГА КАЧЕСТВА ФИНАНСОВОГО МЕНЕДЖМЕНТА ПОДВЕДОМСТВЕННЫХ УЧРЕЖДЕНИЙ ГРБС "МЕЖПОСЕЛЕНЧЕСКОЕ УПРАВЛЕНИЕ КУЛЬТУРЫ"</t>
  </si>
  <si>
    <t>НАИМЕНОВАНИЕ БЛОКА</t>
  </si>
  <si>
    <t>ВЕС ГРУППЫ В ОЦЕНКЕ</t>
  </si>
  <si>
    <t>Целевой показатель оценки качества по блоку (Е итог)</t>
  </si>
  <si>
    <t>Целевой показатель (балл)</t>
  </si>
  <si>
    <t>МУК</t>
  </si>
  <si>
    <t>МИБС</t>
  </si>
  <si>
    <t>оценка качества по блоку (Е итог)</t>
  </si>
  <si>
    <t>ПОКАЗАТЕЛИ КАЧЕСТВА УПРАВЛЕНИЯ РАСХОДАМИ</t>
  </si>
  <si>
    <t>ПОКАЗАТЕЛИ КАЧЕСТВА ВЕДЕНИЯ УЧЕТА И СОСТАВЛЕНИЯ БЮДЖЕТНОЙ ОТЧЕТНОСТИ</t>
  </si>
  <si>
    <t>ПОКАЗАТЕЛИ КАЧЕСТВА УПРАВЛЕНИЯ АКТИВАМИ</t>
  </si>
  <si>
    <t>ПОКАЗАТЕЛИ КАЧЕСТВА ОРГАНИЗАЦИИ И ОСУЩЕСТВЛЕНИЯ ФИНАНСОВОГО КОНТРОЛЯ</t>
  </si>
  <si>
    <t>Неправомерное использование бюджетных средств, в том числе нецелевое использование бюджетных средств</t>
  </si>
  <si>
    <t>Несоблюдение правил планирования закупок</t>
  </si>
  <si>
    <t xml:space="preserve">СУММАРНАЯ ОЦЕНКА </t>
  </si>
  <si>
    <t>ИТОГОВАЯ ОЦЕНКА КАЧЕСТВА (Q)</t>
  </si>
  <si>
    <t>E Мах = 3,60 = (56*14/100)+(8*2/100)+(12*3/100)+(8*2/100)+(16*4/100)</t>
  </si>
  <si>
    <t xml:space="preserve">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 </t>
  </si>
  <si>
    <t>неудовлетворительно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</si>
</sst>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8" fillId="8" borderId="1" xfId="0" applyFont="1" applyFill="1" applyBorder="1" applyAlignment="1">
      <alignment horizontal="left" vertical="center" wrapText="1"/>
    </xf>
    <xf numFmtId="2" fontId="8" fillId="5" borderId="7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2" fontId="2" fillId="7" borderId="0" xfId="0" applyNumberFormat="1" applyFont="1" applyFill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9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1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vertical="center"/>
    </xf>
    <xf numFmtId="0" fontId="6" fillId="0" borderId="1" xfId="0" applyFont="1" applyBorder="1"/>
    <xf numFmtId="0" fontId="8" fillId="0" borderId="0" xfId="0" applyFont="1"/>
    <xf numFmtId="0" fontId="6" fillId="0" borderId="0" xfId="0" applyFont="1"/>
    <xf numFmtId="2" fontId="6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2" fontId="8" fillId="6" borderId="4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right" vertical="center" wrapText="1"/>
    </xf>
    <xf numFmtId="0" fontId="6" fillId="7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6</xdr:row>
      <xdr:rowOff>0</xdr:rowOff>
    </xdr:from>
    <xdr:to>
      <xdr:col>21</xdr:col>
      <xdr:colOff>133350</xdr:colOff>
      <xdr:row>6</xdr:row>
      <xdr:rowOff>190500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0825" y="440055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133350</xdr:colOff>
      <xdr:row>5</xdr:row>
      <xdr:rowOff>190500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3571875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view="pageBreakPreview" zoomScale="75" zoomScaleNormal="75" zoomScaleSheetLayoutView="75" workbookViewId="0">
      <pane xSplit="1" ySplit="7" topLeftCell="M8" activePane="bottomRight" state="frozen"/>
      <selection pane="topRight" activeCell="B1" sqref="B1"/>
      <selection pane="bottomLeft" activeCell="A8" sqref="A8"/>
      <selection pane="bottomRight" activeCell="V10" sqref="V10:W10"/>
    </sheetView>
  </sheetViews>
  <sheetFormatPr defaultRowHeight="15" x14ac:dyDescent="0.25"/>
  <cols>
    <col min="1" max="1" width="61.28515625" style="3" customWidth="1"/>
    <col min="2" max="2" width="12.7109375" style="2" customWidth="1"/>
    <col min="3" max="3" width="14.140625" style="2" customWidth="1"/>
    <col min="4" max="4" width="13.140625" style="2" customWidth="1"/>
    <col min="5" max="5" width="14.140625" style="2" customWidth="1"/>
    <col min="6" max="6" width="12.42578125" style="2" customWidth="1"/>
    <col min="7" max="7" width="14.140625" style="2" customWidth="1"/>
    <col min="8" max="8" width="11.42578125" style="2" customWidth="1"/>
    <col min="9" max="9" width="14.140625" style="2" customWidth="1"/>
    <col min="10" max="10" width="11.42578125" style="2" customWidth="1"/>
    <col min="11" max="11" width="14.140625" style="2" customWidth="1"/>
    <col min="12" max="12" width="12.85546875" style="2" customWidth="1"/>
    <col min="13" max="13" width="15.140625" style="2" customWidth="1"/>
    <col min="14" max="14" width="12" style="2" customWidth="1"/>
    <col min="15" max="15" width="15.85546875" style="2" customWidth="1"/>
    <col min="16" max="16" width="12.7109375" style="2" customWidth="1"/>
    <col min="17" max="17" width="13.5703125" style="2" customWidth="1"/>
    <col min="18" max="18" width="12.140625" style="2" customWidth="1"/>
    <col min="19" max="19" width="12" style="2" customWidth="1"/>
    <col min="20" max="20" width="13.85546875" style="2" customWidth="1"/>
    <col min="21" max="21" width="14.28515625" style="2" customWidth="1"/>
    <col min="22" max="22" width="15.140625" style="2" customWidth="1"/>
    <col min="23" max="16384" width="9.140625" style="2"/>
  </cols>
  <sheetData>
    <row r="1" spans="1:23" ht="1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</row>
    <row r="2" spans="1:23" ht="35.25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23" ht="18" customHeight="1" x14ac:dyDescent="0.25"/>
    <row r="4" spans="1:23" s="5" customFormat="1" ht="94.5" customHeight="1" x14ac:dyDescent="0.25">
      <c r="A4" s="4"/>
      <c r="B4" s="68" t="s">
        <v>1</v>
      </c>
      <c r="C4" s="69"/>
      <c r="D4" s="69"/>
      <c r="E4" s="69"/>
      <c r="F4" s="69"/>
      <c r="G4" s="69"/>
      <c r="H4" s="69"/>
      <c r="I4" s="69"/>
      <c r="J4" s="69"/>
      <c r="K4" s="70"/>
      <c r="L4" s="71" t="s">
        <v>2</v>
      </c>
      <c r="M4" s="72"/>
      <c r="N4" s="73" t="s">
        <v>3</v>
      </c>
      <c r="O4" s="74"/>
      <c r="P4" s="75" t="s">
        <v>4</v>
      </c>
      <c r="Q4" s="76"/>
      <c r="R4" s="76"/>
      <c r="S4" s="77"/>
      <c r="T4" s="80" t="s">
        <v>5</v>
      </c>
      <c r="U4" s="81"/>
    </row>
    <row r="5" spans="1:23" s="7" customFormat="1" ht="134.25" customHeight="1" x14ac:dyDescent="0.25">
      <c r="A5" s="4"/>
      <c r="B5" s="85" t="s">
        <v>6</v>
      </c>
      <c r="C5" s="86"/>
      <c r="D5" s="85" t="s">
        <v>7</v>
      </c>
      <c r="E5" s="86"/>
      <c r="F5" s="85" t="s">
        <v>8</v>
      </c>
      <c r="G5" s="86"/>
      <c r="H5" s="85" t="s">
        <v>9</v>
      </c>
      <c r="I5" s="86"/>
      <c r="J5" s="87" t="s">
        <v>10</v>
      </c>
      <c r="K5" s="87"/>
      <c r="L5" s="88" t="s">
        <v>11</v>
      </c>
      <c r="M5" s="88"/>
      <c r="N5" s="82" t="s">
        <v>12</v>
      </c>
      <c r="O5" s="83"/>
      <c r="P5" s="84" t="s">
        <v>13</v>
      </c>
      <c r="Q5" s="84"/>
      <c r="R5" s="84" t="s">
        <v>14</v>
      </c>
      <c r="S5" s="84"/>
      <c r="T5" s="6" t="s">
        <v>15</v>
      </c>
      <c r="U5" s="6" t="s">
        <v>16</v>
      </c>
    </row>
    <row r="6" spans="1:23" s="14" customFormat="1" ht="65.25" customHeight="1" x14ac:dyDescent="0.25">
      <c r="A6" s="8" t="s">
        <v>17</v>
      </c>
      <c r="B6" s="9" t="s">
        <v>18</v>
      </c>
      <c r="C6" s="9" t="s">
        <v>19</v>
      </c>
      <c r="D6" s="9" t="s">
        <v>20</v>
      </c>
      <c r="E6" s="9" t="s">
        <v>21</v>
      </c>
      <c r="F6" s="9" t="s">
        <v>22</v>
      </c>
      <c r="G6" s="9" t="s">
        <v>23</v>
      </c>
      <c r="H6" s="9" t="s">
        <v>24</v>
      </c>
      <c r="I6" s="9" t="s">
        <v>25</v>
      </c>
      <c r="J6" s="9" t="s">
        <v>26</v>
      </c>
      <c r="K6" s="9" t="s">
        <v>27</v>
      </c>
      <c r="L6" s="10" t="s">
        <v>28</v>
      </c>
      <c r="M6" s="10" t="s">
        <v>29</v>
      </c>
      <c r="N6" s="11" t="s">
        <v>30</v>
      </c>
      <c r="O6" s="11" t="s">
        <v>31</v>
      </c>
      <c r="P6" s="12" t="s">
        <v>32</v>
      </c>
      <c r="Q6" s="12" t="s">
        <v>33</v>
      </c>
      <c r="R6" s="12" t="s">
        <v>34</v>
      </c>
      <c r="S6" s="12" t="s">
        <v>35</v>
      </c>
      <c r="T6" s="13"/>
      <c r="U6" s="13"/>
    </row>
    <row r="7" spans="1:23" s="20" customFormat="1" x14ac:dyDescent="0.25">
      <c r="A7" s="15" t="s">
        <v>36</v>
      </c>
      <c r="B7" s="16"/>
      <c r="C7" s="16" t="s">
        <v>37</v>
      </c>
      <c r="D7" s="16"/>
      <c r="E7" s="16" t="s">
        <v>37</v>
      </c>
      <c r="F7" s="16"/>
      <c r="G7" s="16" t="s">
        <v>37</v>
      </c>
      <c r="H7" s="16"/>
      <c r="I7" s="16" t="s">
        <v>37</v>
      </c>
      <c r="J7" s="17"/>
      <c r="K7" s="17"/>
      <c r="L7" s="18"/>
      <c r="M7" s="18" t="s">
        <v>37</v>
      </c>
      <c r="N7" s="18"/>
      <c r="O7" s="18" t="s">
        <v>37</v>
      </c>
      <c r="P7" s="18"/>
      <c r="Q7" s="18" t="s">
        <v>37</v>
      </c>
      <c r="R7" s="18"/>
      <c r="S7" s="18" t="s">
        <v>37</v>
      </c>
      <c r="T7" s="18"/>
      <c r="U7" s="18"/>
      <c r="V7" s="19"/>
      <c r="W7" s="19"/>
    </row>
    <row r="8" spans="1:23" s="27" customFormat="1" ht="35.25" customHeight="1" x14ac:dyDescent="0.25">
      <c r="A8" s="21" t="s">
        <v>38</v>
      </c>
      <c r="B8" s="22"/>
      <c r="C8" s="23"/>
      <c r="D8" s="22"/>
      <c r="E8" s="23"/>
      <c r="F8" s="22"/>
      <c r="G8" s="23"/>
      <c r="H8" s="22"/>
      <c r="I8" s="23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24"/>
      <c r="V8" s="26"/>
      <c r="W8" s="26"/>
    </row>
    <row r="9" spans="1:23" s="32" customFormat="1" ht="24" customHeight="1" x14ac:dyDescent="0.25">
      <c r="A9" s="28" t="s">
        <v>39</v>
      </c>
      <c r="B9" s="29">
        <f>26*(1-(308613118.55/5722166419.11))</f>
        <v>24.59774419431373</v>
      </c>
      <c r="C9" s="30">
        <v>0.5</v>
      </c>
      <c r="D9" s="29">
        <f>(38560860.68-86573244.33)*100/86573244.33</f>
        <v>-55.458685904141859</v>
      </c>
      <c r="E9" s="30">
        <v>0</v>
      </c>
      <c r="F9" s="29">
        <f>300098576.67/308613118.55*100</f>
        <v>97.241030478547046</v>
      </c>
      <c r="G9" s="30">
        <v>1</v>
      </c>
      <c r="H9" s="29">
        <f>100*(425.71/1836.3)</f>
        <v>23.183031095136961</v>
      </c>
      <c r="I9" s="30">
        <v>1</v>
      </c>
      <c r="J9" s="30">
        <v>0</v>
      </c>
      <c r="K9" s="30">
        <v>1</v>
      </c>
      <c r="L9" s="31" t="s">
        <v>40</v>
      </c>
      <c r="M9" s="31">
        <v>1</v>
      </c>
      <c r="N9" s="31">
        <v>0</v>
      </c>
      <c r="O9" s="31">
        <v>1</v>
      </c>
      <c r="P9" s="31">
        <v>0</v>
      </c>
      <c r="Q9" s="31">
        <v>1</v>
      </c>
      <c r="R9" s="31">
        <v>0</v>
      </c>
      <c r="S9" s="31">
        <v>1</v>
      </c>
      <c r="T9" s="25">
        <f t="shared" ref="T9:T17" si="0">S9+Q9+O9+M9+K9+I9+G9+E9+C9</f>
        <v>7.5</v>
      </c>
      <c r="U9" s="24">
        <v>0.75</v>
      </c>
      <c r="V9" s="78" t="s">
        <v>47</v>
      </c>
      <c r="W9" s="79"/>
    </row>
    <row r="10" spans="1:23" s="32" customFormat="1" ht="24" customHeight="1" x14ac:dyDescent="0.25">
      <c r="A10" s="28" t="s">
        <v>42</v>
      </c>
      <c r="B10" s="29">
        <f>20*(1-92904014.66/5722166419.11)</f>
        <v>19.675283772419714</v>
      </c>
      <c r="C10" s="30">
        <v>0.7</v>
      </c>
      <c r="D10" s="29">
        <f>(26341865.37-20793000.22)*100/20793000.22</f>
        <v>26.686216954216928</v>
      </c>
      <c r="E10" s="30">
        <v>1</v>
      </c>
      <c r="F10" s="29">
        <f>88720866.04/92904014.66*100</f>
        <v>95.497343537511242</v>
      </c>
      <c r="G10" s="30">
        <v>1</v>
      </c>
      <c r="H10" s="29">
        <f>100*(1462.28/1531.1)</f>
        <v>95.50519234537262</v>
      </c>
      <c r="I10" s="30">
        <v>1</v>
      </c>
      <c r="J10" s="30">
        <f>1-1/2</f>
        <v>0.5</v>
      </c>
      <c r="K10" s="30">
        <v>0</v>
      </c>
      <c r="L10" s="31" t="s">
        <v>40</v>
      </c>
      <c r="M10" s="31">
        <v>1</v>
      </c>
      <c r="N10" s="31">
        <v>0</v>
      </c>
      <c r="O10" s="31">
        <v>1</v>
      </c>
      <c r="P10" s="31">
        <v>0</v>
      </c>
      <c r="Q10" s="31">
        <v>1</v>
      </c>
      <c r="R10" s="31">
        <v>1</v>
      </c>
      <c r="S10" s="31">
        <v>0</v>
      </c>
      <c r="T10" s="25">
        <f>S10+Q10+O10+M10+K10+I10+G10+E10+C10</f>
        <v>6.7</v>
      </c>
      <c r="U10" s="25">
        <v>0.73</v>
      </c>
      <c r="V10" s="104" t="s">
        <v>47</v>
      </c>
      <c r="W10" s="105"/>
    </row>
    <row r="11" spans="1:23" s="32" customFormat="1" ht="24" customHeight="1" x14ac:dyDescent="0.25">
      <c r="A11" s="28" t="s">
        <v>43</v>
      </c>
      <c r="B11" s="33">
        <f>33*(1-(107567149.87/236766600.64))</f>
        <v>18.007530892808276</v>
      </c>
      <c r="C11" s="30">
        <v>0.7</v>
      </c>
      <c r="D11" s="29">
        <f>(35226121.66-21738064.23)*100/21738064.23</f>
        <v>62.048107353485335</v>
      </c>
      <c r="E11" s="30">
        <v>0</v>
      </c>
      <c r="F11" s="29">
        <f>100557314.36/107567149.87*100</f>
        <v>93.483293441843799</v>
      </c>
      <c r="G11" s="30">
        <v>0.7</v>
      </c>
      <c r="H11" s="29">
        <f>100*(170.08/498.3)</f>
        <v>34.132048966486053</v>
      </c>
      <c r="I11" s="30">
        <v>1</v>
      </c>
      <c r="J11" s="31">
        <v>0</v>
      </c>
      <c r="K11" s="31">
        <v>1</v>
      </c>
      <c r="L11" s="31" t="s">
        <v>40</v>
      </c>
      <c r="M11" s="31">
        <v>1</v>
      </c>
      <c r="N11" s="31">
        <v>0</v>
      </c>
      <c r="O11" s="31">
        <v>1</v>
      </c>
      <c r="P11" s="31">
        <v>1</v>
      </c>
      <c r="Q11" s="31">
        <v>0</v>
      </c>
      <c r="R11" s="31">
        <v>1</v>
      </c>
      <c r="S11" s="31">
        <v>0</v>
      </c>
      <c r="T11" s="25">
        <f t="shared" si="0"/>
        <v>5.4</v>
      </c>
      <c r="U11" s="25">
        <v>0.62</v>
      </c>
      <c r="V11" s="78" t="s">
        <v>41</v>
      </c>
      <c r="W11" s="79"/>
    </row>
    <row r="12" spans="1:23" s="32" customFormat="1" ht="24" customHeight="1" x14ac:dyDescent="0.25">
      <c r="A12" s="28" t="s">
        <v>44</v>
      </c>
      <c r="B12" s="29">
        <f>18*(1-(44370542.21/236766600.64))</f>
        <v>14.626763413331405</v>
      </c>
      <c r="C12" s="30">
        <v>0.7</v>
      </c>
      <c r="D12" s="29">
        <f>(14718574.88-9164636.6)*100/9164636.6</f>
        <v>60.601838593360064</v>
      </c>
      <c r="E12" s="30">
        <v>0</v>
      </c>
      <c r="F12" s="29">
        <f>42263381.33/44370542.21*100</f>
        <v>95.250991367139292</v>
      </c>
      <c r="G12" s="30">
        <v>1</v>
      </c>
      <c r="H12" s="29">
        <f>100*(66.07/193.1)</f>
        <v>34.215432418436045</v>
      </c>
      <c r="I12" s="30">
        <v>1</v>
      </c>
      <c r="J12" s="31">
        <v>0</v>
      </c>
      <c r="K12" s="31">
        <v>1</v>
      </c>
      <c r="L12" s="31" t="s">
        <v>40</v>
      </c>
      <c r="M12" s="31">
        <v>1</v>
      </c>
      <c r="N12" s="31">
        <v>0</v>
      </c>
      <c r="O12" s="31">
        <v>1</v>
      </c>
      <c r="P12" s="34">
        <v>0</v>
      </c>
      <c r="Q12" s="34">
        <v>1</v>
      </c>
      <c r="R12" s="34">
        <v>0</v>
      </c>
      <c r="S12" s="34">
        <v>1</v>
      </c>
      <c r="T12" s="25">
        <f t="shared" si="0"/>
        <v>7.7</v>
      </c>
      <c r="U12" s="24">
        <v>0.78</v>
      </c>
      <c r="V12" s="78" t="s">
        <v>47</v>
      </c>
      <c r="W12" s="79"/>
    </row>
    <row r="13" spans="1:23" s="32" customFormat="1" ht="24" customHeight="1" x14ac:dyDescent="0.25">
      <c r="A13" s="28" t="s">
        <v>45</v>
      </c>
      <c r="B13" s="29">
        <f>13*(1-(24374305.24/236766600.64))</f>
        <v>11.661694819862749</v>
      </c>
      <c r="C13" s="30">
        <v>0.7</v>
      </c>
      <c r="D13" s="29">
        <f>(8147862.1-5112915.89)*100/5112915.89</f>
        <v>59.358422381558093</v>
      </c>
      <c r="E13" s="30">
        <v>0</v>
      </c>
      <c r="F13" s="29">
        <f>23625374.79/24374305.24*100</f>
        <v>96.927377241625123</v>
      </c>
      <c r="G13" s="30">
        <v>1</v>
      </c>
      <c r="H13" s="29">
        <f>100*(63.17/76.3)</f>
        <v>82.791612057667109</v>
      </c>
      <c r="I13" s="30">
        <v>1</v>
      </c>
      <c r="J13" s="31">
        <v>0</v>
      </c>
      <c r="K13" s="31">
        <v>1</v>
      </c>
      <c r="L13" s="31" t="s">
        <v>40</v>
      </c>
      <c r="M13" s="31">
        <v>1</v>
      </c>
      <c r="N13" s="31">
        <v>0</v>
      </c>
      <c r="O13" s="31">
        <v>1</v>
      </c>
      <c r="P13" s="34">
        <v>1</v>
      </c>
      <c r="Q13" s="34">
        <v>0</v>
      </c>
      <c r="R13" s="34">
        <v>1</v>
      </c>
      <c r="S13" s="34">
        <v>0</v>
      </c>
      <c r="T13" s="25">
        <f t="shared" si="0"/>
        <v>5.7</v>
      </c>
      <c r="U13" s="24">
        <v>0.67</v>
      </c>
      <c r="V13" s="78" t="s">
        <v>41</v>
      </c>
      <c r="W13" s="79"/>
    </row>
    <row r="14" spans="1:23" s="32" customFormat="1" ht="24" customHeight="1" x14ac:dyDescent="0.25">
      <c r="A14" s="28" t="s">
        <v>46</v>
      </c>
      <c r="B14" s="29">
        <f>14*(1-(16635187.84/236766600.64))</f>
        <v>13.016361982093455</v>
      </c>
      <c r="C14" s="30">
        <v>0.7</v>
      </c>
      <c r="D14" s="29">
        <f>(6233958.8-2919841.78)*100/2919841.78</f>
        <v>113.5033083881689</v>
      </c>
      <c r="E14" s="30">
        <v>0</v>
      </c>
      <c r="F14" s="29">
        <f>15038392.14/16635187.84*100</f>
        <v>90.401096066012315</v>
      </c>
      <c r="G14" s="30">
        <v>0.7</v>
      </c>
      <c r="H14" s="29">
        <f>100*(171.64/68)</f>
        <v>252.41176470588235</v>
      </c>
      <c r="I14" s="30">
        <v>0</v>
      </c>
      <c r="J14" s="31">
        <v>0</v>
      </c>
      <c r="K14" s="31">
        <v>1</v>
      </c>
      <c r="L14" s="31" t="s">
        <v>40</v>
      </c>
      <c r="M14" s="31">
        <v>1</v>
      </c>
      <c r="N14" s="31">
        <v>0</v>
      </c>
      <c r="O14" s="31">
        <v>1</v>
      </c>
      <c r="P14" s="34">
        <v>1</v>
      </c>
      <c r="Q14" s="34">
        <v>0</v>
      </c>
      <c r="R14" s="34">
        <v>1</v>
      </c>
      <c r="S14" s="34">
        <v>0</v>
      </c>
      <c r="T14" s="25">
        <f t="shared" si="0"/>
        <v>4.4000000000000004</v>
      </c>
      <c r="U14" s="24">
        <v>0.46</v>
      </c>
      <c r="V14" s="78" t="s">
        <v>69</v>
      </c>
      <c r="W14" s="79"/>
    </row>
    <row r="15" spans="1:23" s="32" customFormat="1" ht="24" customHeight="1" x14ac:dyDescent="0.25">
      <c r="A15" s="28" t="s">
        <v>48</v>
      </c>
      <c r="B15" s="29">
        <f>15*(1-(17581204.65/236766600.64))</f>
        <v>13.886168619065579</v>
      </c>
      <c r="C15" s="30">
        <v>0.7</v>
      </c>
      <c r="D15" s="29">
        <f>(5152255.03-3687744.24)*100/3687744.24</f>
        <v>39.712916479262127</v>
      </c>
      <c r="E15" s="30">
        <v>0.2</v>
      </c>
      <c r="F15" s="29">
        <f>16303628.42/17581204.65*100</f>
        <v>92.733283893603968</v>
      </c>
      <c r="G15" s="30">
        <v>0.7</v>
      </c>
      <c r="H15" s="29">
        <f>100*(38.14/71)</f>
        <v>53.718309859154935</v>
      </c>
      <c r="I15" s="30">
        <v>1</v>
      </c>
      <c r="J15" s="31">
        <v>0</v>
      </c>
      <c r="K15" s="31">
        <v>1</v>
      </c>
      <c r="L15" s="31" t="s">
        <v>40</v>
      </c>
      <c r="M15" s="31">
        <v>1</v>
      </c>
      <c r="N15" s="31">
        <v>0</v>
      </c>
      <c r="O15" s="31">
        <v>1</v>
      </c>
      <c r="P15" s="34">
        <v>0</v>
      </c>
      <c r="Q15" s="34">
        <v>1</v>
      </c>
      <c r="R15" s="34">
        <v>0</v>
      </c>
      <c r="S15" s="34">
        <v>1</v>
      </c>
      <c r="T15" s="25">
        <f t="shared" si="0"/>
        <v>7.6000000000000005</v>
      </c>
      <c r="U15" s="24">
        <v>0.85</v>
      </c>
      <c r="V15" s="78" t="s">
        <v>47</v>
      </c>
      <c r="W15" s="79"/>
    </row>
    <row r="16" spans="1:23" s="32" customFormat="1" ht="24" customHeight="1" x14ac:dyDescent="0.25">
      <c r="A16" s="28" t="s">
        <v>49</v>
      </c>
      <c r="B16" s="29">
        <f>6*(1-(6376828.95/236766600.64))</f>
        <v>5.8384021496419791</v>
      </c>
      <c r="C16" s="30">
        <v>1</v>
      </c>
      <c r="D16" s="29"/>
      <c r="E16" s="30"/>
      <c r="F16" s="29">
        <f>6376828.95/6376828.95*100</f>
        <v>100</v>
      </c>
      <c r="G16" s="30">
        <v>1</v>
      </c>
      <c r="H16" s="29">
        <f>100*(0/18.7)</f>
        <v>0</v>
      </c>
      <c r="I16" s="30">
        <v>1</v>
      </c>
      <c r="J16" s="31">
        <v>0</v>
      </c>
      <c r="K16" s="31">
        <v>1</v>
      </c>
      <c r="L16" s="31" t="s">
        <v>40</v>
      </c>
      <c r="M16" s="31">
        <v>1</v>
      </c>
      <c r="N16" s="31">
        <v>0</v>
      </c>
      <c r="O16" s="31">
        <v>1</v>
      </c>
      <c r="P16" s="34">
        <v>0</v>
      </c>
      <c r="Q16" s="34">
        <v>1</v>
      </c>
      <c r="R16" s="34">
        <v>1</v>
      </c>
      <c r="S16" s="34">
        <v>0</v>
      </c>
      <c r="T16" s="25">
        <f t="shared" si="0"/>
        <v>7</v>
      </c>
      <c r="U16" s="24">
        <v>0.78</v>
      </c>
      <c r="V16" s="78" t="s">
        <v>47</v>
      </c>
      <c r="W16" s="79"/>
    </row>
    <row r="17" spans="1:23" s="32" customFormat="1" ht="24" customHeight="1" x14ac:dyDescent="0.25">
      <c r="A17" s="28" t="s">
        <v>50</v>
      </c>
      <c r="B17" s="29">
        <f>12*(1-(22967850.14/236766600.64))</f>
        <v>10.83592448877928</v>
      </c>
      <c r="C17" s="30">
        <v>0.7</v>
      </c>
      <c r="D17" s="29">
        <f>(7247433.36-4779622.28)*100/4779622.28</f>
        <v>51.631926864312796</v>
      </c>
      <c r="E17" s="30">
        <v>0</v>
      </c>
      <c r="F17" s="29">
        <f>21677850.24/22967850.14*100</f>
        <v>94.383453862086185</v>
      </c>
      <c r="G17" s="30">
        <v>0.7</v>
      </c>
      <c r="H17" s="29">
        <f>100*(21.6/68)</f>
        <v>31.764705882352946</v>
      </c>
      <c r="I17" s="30">
        <v>1</v>
      </c>
      <c r="J17" s="31">
        <v>0</v>
      </c>
      <c r="K17" s="31">
        <v>1</v>
      </c>
      <c r="L17" s="31" t="s">
        <v>40</v>
      </c>
      <c r="M17" s="31">
        <v>1</v>
      </c>
      <c r="N17" s="31">
        <v>0</v>
      </c>
      <c r="O17" s="31">
        <v>1</v>
      </c>
      <c r="P17" s="34">
        <v>1</v>
      </c>
      <c r="Q17" s="34">
        <v>0</v>
      </c>
      <c r="R17" s="34">
        <v>1</v>
      </c>
      <c r="S17" s="34">
        <v>0</v>
      </c>
      <c r="T17" s="25">
        <f t="shared" si="0"/>
        <v>5.4</v>
      </c>
      <c r="U17" s="24">
        <v>0.62</v>
      </c>
      <c r="V17" s="78" t="s">
        <v>41</v>
      </c>
      <c r="W17" s="79"/>
    </row>
    <row r="18" spans="1:23" s="35" customFormat="1" x14ac:dyDescent="0.25">
      <c r="A18" s="3"/>
    </row>
    <row r="19" spans="1:23" ht="24" customHeight="1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2" spans="1:23" ht="15.75" x14ac:dyDescent="0.25">
      <c r="A22" s="56"/>
      <c r="B22" s="57"/>
      <c r="C22" s="57"/>
      <c r="D22" s="57"/>
      <c r="E22" s="58"/>
      <c r="F22" s="57"/>
    </row>
    <row r="23" spans="1:23" ht="15.75" x14ac:dyDescent="0.25">
      <c r="A23" s="57"/>
      <c r="B23" s="57"/>
      <c r="C23" s="58"/>
      <c r="D23" s="57"/>
      <c r="F23" s="57"/>
    </row>
    <row r="24" spans="1:23" ht="15.75" x14ac:dyDescent="0.25">
      <c r="A24" s="59"/>
      <c r="B24" s="57"/>
      <c r="C24" s="57"/>
      <c r="D24" s="57"/>
      <c r="E24" s="57"/>
      <c r="F24" s="57"/>
    </row>
    <row r="25" spans="1:23" ht="15.75" x14ac:dyDescent="0.25">
      <c r="A25" s="59"/>
      <c r="B25" s="57"/>
      <c r="C25" s="57"/>
      <c r="D25" s="57"/>
      <c r="E25" s="57"/>
      <c r="F25" s="57"/>
    </row>
    <row r="26" spans="1:23" ht="15.75" x14ac:dyDescent="0.25">
      <c r="A26" s="59"/>
      <c r="B26" s="57"/>
      <c r="C26" s="57"/>
      <c r="D26" s="57"/>
      <c r="E26" s="57"/>
      <c r="F26" s="57"/>
    </row>
    <row r="27" spans="1:23" ht="15.75" x14ac:dyDescent="0.25">
      <c r="A27" s="59"/>
      <c r="B27" s="57"/>
      <c r="C27" s="57"/>
      <c r="D27" s="57"/>
      <c r="E27" s="57"/>
      <c r="F27" s="57"/>
    </row>
    <row r="28" spans="1:23" ht="15.75" x14ac:dyDescent="0.25">
      <c r="A28" s="59"/>
      <c r="B28" s="57"/>
      <c r="C28" s="57"/>
      <c r="D28" s="57"/>
      <c r="E28" s="57"/>
      <c r="F28" s="57"/>
    </row>
    <row r="29" spans="1:23" ht="15.75" x14ac:dyDescent="0.25">
      <c r="A29" s="59"/>
      <c r="B29" s="57"/>
      <c r="C29" s="57"/>
      <c r="D29" s="57"/>
      <c r="E29" s="57"/>
      <c r="F29" s="57"/>
    </row>
    <row r="30" spans="1:23" ht="15.75" x14ac:dyDescent="0.25">
      <c r="A30" s="60"/>
      <c r="B30" s="57"/>
      <c r="C30" s="57"/>
      <c r="D30" s="57"/>
      <c r="E30" s="57"/>
      <c r="F30" s="57"/>
    </row>
    <row r="31" spans="1:23" ht="15.75" x14ac:dyDescent="0.25">
      <c r="A31" s="59"/>
      <c r="B31" s="57"/>
      <c r="C31" s="57"/>
      <c r="D31" s="57"/>
      <c r="E31" s="57"/>
      <c r="F31" s="57"/>
    </row>
    <row r="32" spans="1:23" ht="15.75" x14ac:dyDescent="0.25">
      <c r="A32" s="59"/>
      <c r="B32" s="57"/>
      <c r="C32" s="57"/>
      <c r="D32" s="57"/>
      <c r="E32" s="57"/>
      <c r="F32" s="57"/>
    </row>
    <row r="33" spans="1:6" ht="15.75" x14ac:dyDescent="0.25">
      <c r="A33" s="59"/>
      <c r="B33" s="57"/>
      <c r="C33" s="57"/>
      <c r="D33" s="57"/>
      <c r="E33" s="57"/>
      <c r="F33" s="57"/>
    </row>
    <row r="34" spans="1:6" ht="15.75" x14ac:dyDescent="0.25">
      <c r="A34" s="59"/>
      <c r="B34" s="57"/>
      <c r="C34" s="57"/>
      <c r="D34" s="57"/>
      <c r="E34" s="57"/>
      <c r="F34" s="57"/>
    </row>
    <row r="35" spans="1:6" ht="15.75" x14ac:dyDescent="0.25">
      <c r="A35" s="59"/>
      <c r="B35" s="57"/>
      <c r="C35" s="57"/>
      <c r="D35" s="57"/>
      <c r="E35" s="57"/>
      <c r="F35" s="57"/>
    </row>
    <row r="36" spans="1:6" ht="15.75" x14ac:dyDescent="0.25">
      <c r="A36" s="59"/>
      <c r="B36" s="57"/>
      <c r="C36" s="57"/>
      <c r="D36" s="57"/>
      <c r="E36" s="57"/>
      <c r="F36" s="57"/>
    </row>
    <row r="37" spans="1:6" ht="15.75" x14ac:dyDescent="0.25">
      <c r="A37" s="59"/>
      <c r="B37" s="57"/>
      <c r="C37" s="57"/>
      <c r="D37" s="57"/>
      <c r="E37" s="57"/>
      <c r="F37" s="57"/>
    </row>
    <row r="38" spans="1:6" ht="15.75" x14ac:dyDescent="0.25">
      <c r="A38" s="59"/>
      <c r="B38" s="57"/>
      <c r="C38" s="57"/>
      <c r="D38" s="57"/>
      <c r="E38" s="57"/>
      <c r="F38" s="57"/>
    </row>
    <row r="39" spans="1:6" ht="15.75" x14ac:dyDescent="0.25">
      <c r="A39" s="59"/>
      <c r="B39" s="57"/>
      <c r="C39" s="57"/>
      <c r="D39" s="57"/>
      <c r="E39" s="57"/>
      <c r="F39" s="57"/>
    </row>
    <row r="40" spans="1:6" ht="15.75" x14ac:dyDescent="0.25">
      <c r="A40" s="59"/>
      <c r="B40" s="57"/>
      <c r="C40" s="57"/>
      <c r="D40" s="57"/>
      <c r="E40" s="57"/>
      <c r="F40" s="57"/>
    </row>
  </sheetData>
  <mergeCells count="26">
    <mergeCell ref="A19:L19"/>
    <mergeCell ref="V16:W16"/>
    <mergeCell ref="V17:W17"/>
    <mergeCell ref="V15:W15"/>
    <mergeCell ref="N5:O5"/>
    <mergeCell ref="P5:Q5"/>
    <mergeCell ref="R5:S5"/>
    <mergeCell ref="B5:C5"/>
    <mergeCell ref="D5:E5"/>
    <mergeCell ref="F5:G5"/>
    <mergeCell ref="H5:I5"/>
    <mergeCell ref="J5:K5"/>
    <mergeCell ref="L5:M5"/>
    <mergeCell ref="V14:W14"/>
    <mergeCell ref="P4:S4"/>
    <mergeCell ref="V13:W13"/>
    <mergeCell ref="V9:W9"/>
    <mergeCell ref="V10:W10"/>
    <mergeCell ref="V11:W11"/>
    <mergeCell ref="V12:W12"/>
    <mergeCell ref="T4:U4"/>
    <mergeCell ref="A1:L1"/>
    <mergeCell ref="A2:M2"/>
    <mergeCell ref="B4:K4"/>
    <mergeCell ref="L4:M4"/>
    <mergeCell ref="N4:O4"/>
  </mergeCells>
  <pageMargins left="0.11811023622047245" right="0.11811023622047245" top="0.35433070866141736" bottom="0.35433070866141736" header="0.31496062992125984" footer="0.31496062992125984"/>
  <pageSetup paperSize="9" scale="58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tabSelected="1" view="pageBreakPreview" zoomScale="60" zoomScaleNormal="100" workbookViewId="0">
      <selection activeCell="K9" sqref="K9"/>
    </sheetView>
  </sheetViews>
  <sheetFormatPr defaultRowHeight="15" x14ac:dyDescent="0.25"/>
  <cols>
    <col min="1" max="1" width="55.85546875" customWidth="1"/>
    <col min="2" max="2" width="12.140625" customWidth="1"/>
    <col min="3" max="3" width="13.42578125" customWidth="1"/>
    <col min="5" max="5" width="12.140625" customWidth="1"/>
    <col min="7" max="7" width="11.85546875" customWidth="1"/>
    <col min="9" max="9" width="11.28515625" customWidth="1"/>
    <col min="11" max="11" width="11.7109375" customWidth="1"/>
    <col min="13" max="13" width="11.28515625" customWidth="1"/>
    <col min="15" max="15" width="10.7109375" customWidth="1"/>
    <col min="17" max="17" width="12.42578125" customWidth="1"/>
    <col min="19" max="19" width="12.140625" customWidth="1"/>
    <col min="21" max="21" width="14.5703125" customWidth="1"/>
  </cols>
  <sheetData>
    <row r="1" spans="1:22" ht="15" customHeight="1" x14ac:dyDescent="0.25">
      <c r="A1" s="67" t="s">
        <v>51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51.75" customHeight="1" x14ac:dyDescent="0.25">
      <c r="A3" s="92" t="s">
        <v>52</v>
      </c>
      <c r="B3" s="94" t="s">
        <v>53</v>
      </c>
      <c r="C3" s="94" t="s">
        <v>54</v>
      </c>
      <c r="D3" s="94" t="s">
        <v>55</v>
      </c>
      <c r="E3" s="96" t="s">
        <v>56</v>
      </c>
      <c r="F3" s="97"/>
      <c r="G3" s="98" t="s">
        <v>57</v>
      </c>
      <c r="H3" s="99"/>
      <c r="I3" s="98" t="s">
        <v>43</v>
      </c>
      <c r="J3" s="99"/>
      <c r="K3" s="98" t="s">
        <v>44</v>
      </c>
      <c r="L3" s="99"/>
      <c r="M3" s="98" t="s">
        <v>45</v>
      </c>
      <c r="N3" s="99"/>
      <c r="O3" s="98" t="s">
        <v>46</v>
      </c>
      <c r="P3" s="99"/>
      <c r="Q3" s="98" t="s">
        <v>48</v>
      </c>
      <c r="R3" s="99"/>
      <c r="S3" s="98" t="s">
        <v>49</v>
      </c>
      <c r="T3" s="99"/>
      <c r="U3" s="98" t="s">
        <v>50</v>
      </c>
      <c r="V3" s="99"/>
    </row>
    <row r="4" spans="1:22" ht="63" x14ac:dyDescent="0.25">
      <c r="A4" s="93"/>
      <c r="B4" s="95"/>
      <c r="C4" s="95"/>
      <c r="D4" s="95"/>
      <c r="E4" s="36" t="s">
        <v>58</v>
      </c>
      <c r="F4" s="37" t="s">
        <v>37</v>
      </c>
      <c r="G4" s="36" t="s">
        <v>58</v>
      </c>
      <c r="H4" s="37" t="s">
        <v>37</v>
      </c>
      <c r="I4" s="36" t="s">
        <v>58</v>
      </c>
      <c r="J4" s="37" t="s">
        <v>37</v>
      </c>
      <c r="K4" s="36" t="s">
        <v>58</v>
      </c>
      <c r="L4" s="37" t="s">
        <v>37</v>
      </c>
      <c r="M4" s="36" t="s">
        <v>58</v>
      </c>
      <c r="N4" s="37" t="s">
        <v>37</v>
      </c>
      <c r="O4" s="36" t="s">
        <v>58</v>
      </c>
      <c r="P4" s="37" t="s">
        <v>37</v>
      </c>
      <c r="Q4" s="36" t="s">
        <v>58</v>
      </c>
      <c r="R4" s="37" t="s">
        <v>37</v>
      </c>
      <c r="S4" s="36" t="s">
        <v>58</v>
      </c>
      <c r="T4" s="37" t="s">
        <v>37</v>
      </c>
      <c r="U4" s="36" t="s">
        <v>58</v>
      </c>
      <c r="V4" s="37" t="s">
        <v>37</v>
      </c>
    </row>
    <row r="5" spans="1:22" ht="31.5" x14ac:dyDescent="0.25">
      <c r="A5" s="46" t="s">
        <v>59</v>
      </c>
      <c r="B5" s="39">
        <v>60</v>
      </c>
      <c r="C5" s="40">
        <f>B5*D5/100</f>
        <v>3</v>
      </c>
      <c r="D5" s="39">
        <v>5</v>
      </c>
      <c r="E5" s="40">
        <f>B5*F5/100</f>
        <v>2.1</v>
      </c>
      <c r="F5" s="39">
        <f>SUM(F6:F10)</f>
        <v>3.5</v>
      </c>
      <c r="G5" s="40">
        <f>B5*H5/100</f>
        <v>2.2200000000000002</v>
      </c>
      <c r="H5" s="39">
        <f>SUM(H6:H10)</f>
        <v>3.7</v>
      </c>
      <c r="I5" s="40">
        <f>B5*J5/100</f>
        <v>2.04</v>
      </c>
      <c r="J5" s="39">
        <f>SUM(J6:J10)</f>
        <v>3.4</v>
      </c>
      <c r="K5" s="40">
        <f>L5*B5/100</f>
        <v>2.2200000000000002</v>
      </c>
      <c r="L5" s="39">
        <f t="shared" ref="L5" si="0">SUM(L6:L10)</f>
        <v>3.7</v>
      </c>
      <c r="M5" s="40">
        <f>N5*B5/100</f>
        <v>2.2200000000000002</v>
      </c>
      <c r="N5" s="39">
        <f t="shared" ref="N5" si="1">SUM(N6:N10)</f>
        <v>3.7</v>
      </c>
      <c r="O5" s="40">
        <f>P5*B5/100</f>
        <v>1.44</v>
      </c>
      <c r="P5" s="39">
        <f t="shared" ref="P5" si="2">SUM(P6:P10)</f>
        <v>2.4</v>
      </c>
      <c r="Q5" s="40">
        <f>R5*B5/100</f>
        <v>2.4599999999999995</v>
      </c>
      <c r="R5" s="39">
        <f t="shared" ref="R5" si="3">SUM(R6:R10)</f>
        <v>4.0999999999999996</v>
      </c>
      <c r="S5" s="40">
        <f>T5*B5/100</f>
        <v>2.4</v>
      </c>
      <c r="T5" s="39">
        <f t="shared" ref="T5" si="4">SUM(T6:T10)</f>
        <v>4</v>
      </c>
      <c r="U5" s="40">
        <f>V5*B5/100</f>
        <v>2.04</v>
      </c>
      <c r="V5" s="39">
        <f t="shared" ref="V5" si="5">SUM(V6:V10)</f>
        <v>3.4</v>
      </c>
    </row>
    <row r="6" spans="1:22" ht="32.25" customHeight="1" x14ac:dyDescent="0.25">
      <c r="A6" s="41" t="s">
        <v>6</v>
      </c>
      <c r="B6" s="61"/>
      <c r="C6" s="61"/>
      <c r="D6" s="61"/>
      <c r="E6" s="89"/>
      <c r="F6" s="42">
        <v>0.5</v>
      </c>
      <c r="G6" s="61"/>
      <c r="H6" s="42">
        <v>0.7</v>
      </c>
      <c r="I6" s="61"/>
      <c r="J6" s="62">
        <v>0.7</v>
      </c>
      <c r="K6" s="61"/>
      <c r="L6" s="62">
        <v>0.7</v>
      </c>
      <c r="M6" s="61"/>
      <c r="N6" s="62">
        <v>0.7</v>
      </c>
      <c r="O6" s="61"/>
      <c r="P6" s="62">
        <v>0.7</v>
      </c>
      <c r="Q6" s="61"/>
      <c r="R6" s="62">
        <v>0.7</v>
      </c>
      <c r="S6" s="61"/>
      <c r="T6" s="62">
        <v>1</v>
      </c>
      <c r="U6" s="61"/>
      <c r="V6" s="62">
        <v>0.7</v>
      </c>
    </row>
    <row r="7" spans="1:22" ht="20.25" customHeight="1" x14ac:dyDescent="0.25">
      <c r="A7" s="41" t="s">
        <v>7</v>
      </c>
      <c r="B7" s="61"/>
      <c r="C7" s="61"/>
      <c r="D7" s="61"/>
      <c r="E7" s="90"/>
      <c r="F7" s="42">
        <v>0</v>
      </c>
      <c r="G7" s="61"/>
      <c r="H7" s="42">
        <v>1</v>
      </c>
      <c r="I7" s="61"/>
      <c r="J7" s="62">
        <v>0</v>
      </c>
      <c r="K7" s="61"/>
      <c r="L7" s="62">
        <v>0</v>
      </c>
      <c r="M7" s="61"/>
      <c r="N7" s="62">
        <v>0</v>
      </c>
      <c r="O7" s="61"/>
      <c r="P7" s="62">
        <v>0</v>
      </c>
      <c r="Q7" s="61"/>
      <c r="R7" s="62">
        <v>0.7</v>
      </c>
      <c r="S7" s="61"/>
      <c r="T7" s="62"/>
      <c r="U7" s="61"/>
      <c r="V7" s="62">
        <v>0</v>
      </c>
    </row>
    <row r="8" spans="1:22" ht="33" customHeight="1" x14ac:dyDescent="0.25">
      <c r="A8" s="41" t="s">
        <v>8</v>
      </c>
      <c r="B8" s="61"/>
      <c r="C8" s="61"/>
      <c r="D8" s="61"/>
      <c r="E8" s="90"/>
      <c r="F8" s="42">
        <v>1</v>
      </c>
      <c r="G8" s="61"/>
      <c r="H8" s="42">
        <v>1</v>
      </c>
      <c r="I8" s="61"/>
      <c r="J8" s="62">
        <v>0.7</v>
      </c>
      <c r="K8" s="61"/>
      <c r="L8" s="62">
        <v>1</v>
      </c>
      <c r="M8" s="61"/>
      <c r="N8" s="62">
        <v>1</v>
      </c>
      <c r="O8" s="61"/>
      <c r="P8" s="62">
        <v>0.7</v>
      </c>
      <c r="Q8" s="61"/>
      <c r="R8" s="62">
        <v>0.7</v>
      </c>
      <c r="S8" s="61"/>
      <c r="T8" s="62">
        <v>1</v>
      </c>
      <c r="U8" s="61"/>
      <c r="V8" s="62">
        <v>0.7</v>
      </c>
    </row>
    <row r="9" spans="1:22" ht="48.75" customHeight="1" x14ac:dyDescent="0.25">
      <c r="A9" s="41" t="s">
        <v>9</v>
      </c>
      <c r="B9" s="61"/>
      <c r="C9" s="61"/>
      <c r="D9" s="61"/>
      <c r="E9" s="90"/>
      <c r="F9" s="42">
        <v>1</v>
      </c>
      <c r="G9" s="61"/>
      <c r="H9" s="42">
        <v>1</v>
      </c>
      <c r="I9" s="61"/>
      <c r="J9" s="62">
        <v>1</v>
      </c>
      <c r="K9" s="61"/>
      <c r="L9" s="62">
        <v>1</v>
      </c>
      <c r="M9" s="61"/>
      <c r="N9" s="62">
        <v>1</v>
      </c>
      <c r="O9" s="61"/>
      <c r="P9" s="62">
        <v>0</v>
      </c>
      <c r="Q9" s="61"/>
      <c r="R9" s="62">
        <v>1</v>
      </c>
      <c r="S9" s="61"/>
      <c r="T9" s="62">
        <v>1</v>
      </c>
      <c r="U9" s="61"/>
      <c r="V9" s="62">
        <v>1</v>
      </c>
    </row>
    <row r="10" spans="1:22" ht="87" customHeight="1" x14ac:dyDescent="0.25">
      <c r="A10" s="43" t="s">
        <v>68</v>
      </c>
      <c r="B10" s="64"/>
      <c r="C10" s="64"/>
      <c r="D10" s="64"/>
      <c r="E10" s="91"/>
      <c r="F10" s="37">
        <v>1</v>
      </c>
      <c r="G10" s="64"/>
      <c r="H10" s="44">
        <v>0</v>
      </c>
      <c r="I10" s="45"/>
      <c r="J10" s="44">
        <v>1</v>
      </c>
      <c r="K10" s="45"/>
      <c r="L10" s="44">
        <v>1</v>
      </c>
      <c r="M10" s="45"/>
      <c r="N10" s="44">
        <v>1</v>
      </c>
      <c r="O10" s="45"/>
      <c r="P10" s="44">
        <v>1</v>
      </c>
      <c r="Q10" s="45"/>
      <c r="R10" s="44">
        <v>1</v>
      </c>
      <c r="S10" s="45"/>
      <c r="T10" s="44">
        <v>1</v>
      </c>
      <c r="U10" s="45"/>
      <c r="V10" s="44">
        <v>1</v>
      </c>
    </row>
    <row r="11" spans="1:22" ht="53.25" customHeight="1" x14ac:dyDescent="0.25">
      <c r="A11" s="46" t="s">
        <v>60</v>
      </c>
      <c r="B11" s="39">
        <v>10</v>
      </c>
      <c r="C11" s="39">
        <f>B11*D11/100</f>
        <v>0.1</v>
      </c>
      <c r="D11" s="39">
        <v>1</v>
      </c>
      <c r="E11" s="39">
        <f>B11*F11/100</f>
        <v>0.1</v>
      </c>
      <c r="F11" s="39">
        <f>F12</f>
        <v>1</v>
      </c>
      <c r="G11" s="39">
        <f>B11*H11/100</f>
        <v>0.1</v>
      </c>
      <c r="H11" s="39">
        <f>SUM(H12:H12)</f>
        <v>1</v>
      </c>
      <c r="I11" s="39">
        <f>B11*J11/100</f>
        <v>0.1</v>
      </c>
      <c r="J11" s="39">
        <f>SUM(J12:J12)</f>
        <v>1</v>
      </c>
      <c r="K11" s="39">
        <f>L11*B11/100</f>
        <v>0.1</v>
      </c>
      <c r="L11" s="39">
        <f t="shared" ref="L11" si="6">SUM(L12:L12)</f>
        <v>1</v>
      </c>
      <c r="M11" s="39">
        <f>N11*B11/100</f>
        <v>0.1</v>
      </c>
      <c r="N11" s="39">
        <f t="shared" ref="N11" si="7">SUM(N12:N12)</f>
        <v>1</v>
      </c>
      <c r="O11" s="39">
        <f>P11*B11/100</f>
        <v>0.1</v>
      </c>
      <c r="P11" s="39">
        <f t="shared" ref="P11" si="8">SUM(P12:P12)</f>
        <v>1</v>
      </c>
      <c r="Q11" s="39">
        <f>R11*B11/100</f>
        <v>0.1</v>
      </c>
      <c r="R11" s="39">
        <f t="shared" ref="R11" si="9">SUM(R12:R12)</f>
        <v>1</v>
      </c>
      <c r="S11" s="39">
        <f>T11*B11/100</f>
        <v>0.1</v>
      </c>
      <c r="T11" s="39">
        <f t="shared" ref="T11" si="10">SUM(T12:T12)</f>
        <v>1</v>
      </c>
      <c r="U11" s="39">
        <f>V11*B11/100</f>
        <v>0.1</v>
      </c>
      <c r="V11" s="39">
        <f t="shared" ref="V11" si="11">SUM(V12:V12)</f>
        <v>1</v>
      </c>
    </row>
    <row r="12" spans="1:22" ht="28.5" customHeight="1" x14ac:dyDescent="0.25">
      <c r="A12" s="43" t="s">
        <v>11</v>
      </c>
      <c r="B12" s="64"/>
      <c r="C12" s="64"/>
      <c r="D12" s="64"/>
      <c r="E12" s="63"/>
      <c r="F12" s="37">
        <v>1</v>
      </c>
      <c r="G12" s="64"/>
      <c r="H12" s="47">
        <v>1</v>
      </c>
      <c r="I12" s="64"/>
      <c r="J12" s="48">
        <v>1</v>
      </c>
      <c r="K12" s="64"/>
      <c r="L12" s="48">
        <v>1</v>
      </c>
      <c r="M12" s="64"/>
      <c r="N12" s="48">
        <v>1</v>
      </c>
      <c r="O12" s="64"/>
      <c r="P12" s="48">
        <v>1</v>
      </c>
      <c r="Q12" s="64"/>
      <c r="R12" s="48">
        <v>1</v>
      </c>
      <c r="S12" s="64"/>
      <c r="T12" s="48">
        <v>1</v>
      </c>
      <c r="U12" s="64"/>
      <c r="V12" s="48">
        <v>1</v>
      </c>
    </row>
    <row r="13" spans="1:22" ht="15.75" x14ac:dyDescent="0.25">
      <c r="A13" s="38" t="s">
        <v>61</v>
      </c>
      <c r="B13" s="39">
        <v>10</v>
      </c>
      <c r="C13" s="39">
        <f>B13*D13/100</f>
        <v>0.1</v>
      </c>
      <c r="D13" s="39">
        <v>1</v>
      </c>
      <c r="E13" s="39">
        <f>B13*F13/100</f>
        <v>0.1</v>
      </c>
      <c r="F13" s="39">
        <f>F14</f>
        <v>1</v>
      </c>
      <c r="G13" s="39">
        <f>B13*H13/100</f>
        <v>0.1</v>
      </c>
      <c r="H13" s="39">
        <f>H14</f>
        <v>1</v>
      </c>
      <c r="I13" s="39">
        <f>B13*J13/100</f>
        <v>0.1</v>
      </c>
      <c r="J13" s="39">
        <f>J14</f>
        <v>1</v>
      </c>
      <c r="K13" s="39">
        <f>L13*B13/100</f>
        <v>0.1</v>
      </c>
      <c r="L13" s="39">
        <f t="shared" ref="L13" si="12">L14</f>
        <v>1</v>
      </c>
      <c r="M13" s="39">
        <f>N13*B13/100</f>
        <v>0.1</v>
      </c>
      <c r="N13" s="39">
        <f t="shared" ref="N13" si="13">N14</f>
        <v>1</v>
      </c>
      <c r="O13" s="39">
        <f>P13*B13/100</f>
        <v>0.1</v>
      </c>
      <c r="P13" s="39">
        <f t="shared" ref="P13" si="14">P14</f>
        <v>1</v>
      </c>
      <c r="Q13" s="39">
        <f>R13*B13/100</f>
        <v>0.1</v>
      </c>
      <c r="R13" s="39">
        <f t="shared" ref="R13" si="15">R14</f>
        <v>1</v>
      </c>
      <c r="S13" s="39">
        <f>T13*B13/100</f>
        <v>0.1</v>
      </c>
      <c r="T13" s="39">
        <f t="shared" ref="T13" si="16">T14</f>
        <v>1</v>
      </c>
      <c r="U13" s="39">
        <f>V13*B13/100</f>
        <v>0.1</v>
      </c>
      <c r="V13" s="39">
        <f t="shared" ref="V13" si="17">V14</f>
        <v>1</v>
      </c>
    </row>
    <row r="14" spans="1:22" ht="32.25" customHeight="1" x14ac:dyDescent="0.25">
      <c r="A14" s="43" t="s">
        <v>12</v>
      </c>
      <c r="B14" s="63"/>
      <c r="C14" s="63"/>
      <c r="D14" s="63"/>
      <c r="E14" s="63"/>
      <c r="F14" s="47">
        <v>1</v>
      </c>
      <c r="G14" s="63"/>
      <c r="H14" s="47">
        <v>1</v>
      </c>
      <c r="I14" s="63"/>
      <c r="J14" s="48">
        <v>1</v>
      </c>
      <c r="K14" s="63"/>
      <c r="L14" s="48">
        <v>1</v>
      </c>
      <c r="M14" s="63"/>
      <c r="N14" s="48">
        <v>1</v>
      </c>
      <c r="O14" s="63"/>
      <c r="P14" s="48">
        <v>1</v>
      </c>
      <c r="Q14" s="63"/>
      <c r="R14" s="48">
        <v>1</v>
      </c>
      <c r="S14" s="63"/>
      <c r="T14" s="48">
        <v>1</v>
      </c>
      <c r="U14" s="63"/>
      <c r="V14" s="48">
        <v>1</v>
      </c>
    </row>
    <row r="15" spans="1:22" ht="55.5" customHeight="1" x14ac:dyDescent="0.25">
      <c r="A15" s="46" t="s">
        <v>62</v>
      </c>
      <c r="B15" s="49">
        <v>20</v>
      </c>
      <c r="C15" s="49">
        <f>B15*D15/100</f>
        <v>0.4</v>
      </c>
      <c r="D15" s="49">
        <v>2</v>
      </c>
      <c r="E15" s="49">
        <f>B15*F15/100</f>
        <v>0.4</v>
      </c>
      <c r="F15" s="49">
        <f>F16+F17</f>
        <v>2</v>
      </c>
      <c r="G15" s="49">
        <f>B15*H15/100</f>
        <v>0.2</v>
      </c>
      <c r="H15" s="39">
        <f>H16+H17</f>
        <v>1</v>
      </c>
      <c r="I15" s="49">
        <f>B15*J15/100</f>
        <v>0</v>
      </c>
      <c r="J15" s="39">
        <f>J16+J17</f>
        <v>0</v>
      </c>
      <c r="K15" s="49">
        <f>L15*B15/100</f>
        <v>0.4</v>
      </c>
      <c r="L15" s="39">
        <f t="shared" ref="L15" si="18">L16+L17</f>
        <v>2</v>
      </c>
      <c r="M15" s="49">
        <f>N15*B15/100</f>
        <v>0</v>
      </c>
      <c r="N15" s="39">
        <f t="shared" ref="N15" si="19">N16+N17</f>
        <v>0</v>
      </c>
      <c r="O15" s="49">
        <f>P15*B15/100</f>
        <v>0</v>
      </c>
      <c r="P15" s="39">
        <f t="shared" ref="P15" si="20">P16+P17</f>
        <v>0</v>
      </c>
      <c r="Q15" s="49">
        <f>R15*B15/100</f>
        <v>0.4</v>
      </c>
      <c r="R15" s="39">
        <f t="shared" ref="R15" si="21">R16+R17</f>
        <v>2</v>
      </c>
      <c r="S15" s="49">
        <f>T15*B15/100</f>
        <v>0.2</v>
      </c>
      <c r="T15" s="39">
        <f t="shared" ref="T15" si="22">T16+T17</f>
        <v>1</v>
      </c>
      <c r="U15" s="49">
        <f>V15*B15/100</f>
        <v>0</v>
      </c>
      <c r="V15" s="39">
        <f t="shared" ref="V15" si="23">V16+V17</f>
        <v>0</v>
      </c>
    </row>
    <row r="16" spans="1:22" ht="57" customHeight="1" x14ac:dyDescent="0.25">
      <c r="A16" s="43" t="s">
        <v>63</v>
      </c>
      <c r="B16" s="92"/>
      <c r="C16" s="92"/>
      <c r="D16" s="92"/>
      <c r="E16" s="92"/>
      <c r="F16" s="37">
        <v>1</v>
      </c>
      <c r="G16" s="50"/>
      <c r="H16" s="47">
        <v>1</v>
      </c>
      <c r="I16" s="50"/>
      <c r="J16" s="47">
        <v>0</v>
      </c>
      <c r="K16" s="50"/>
      <c r="L16" s="47">
        <v>1</v>
      </c>
      <c r="M16" s="50"/>
      <c r="N16" s="47">
        <v>0</v>
      </c>
      <c r="O16" s="50"/>
      <c r="P16" s="47">
        <v>0</v>
      </c>
      <c r="Q16" s="50"/>
      <c r="R16" s="47">
        <v>1</v>
      </c>
      <c r="S16" s="50"/>
      <c r="T16" s="47">
        <v>1</v>
      </c>
      <c r="U16" s="50"/>
      <c r="V16" s="47">
        <v>0</v>
      </c>
    </row>
    <row r="17" spans="1:22" ht="25.5" customHeight="1" x14ac:dyDescent="0.25">
      <c r="A17" s="43" t="s">
        <v>64</v>
      </c>
      <c r="B17" s="100"/>
      <c r="C17" s="93"/>
      <c r="D17" s="93"/>
      <c r="E17" s="100"/>
      <c r="F17" s="37">
        <v>1</v>
      </c>
      <c r="G17" s="50"/>
      <c r="H17" s="47">
        <v>0</v>
      </c>
      <c r="I17" s="50"/>
      <c r="J17" s="47">
        <v>0</v>
      </c>
      <c r="K17" s="50"/>
      <c r="L17" s="47">
        <v>1</v>
      </c>
      <c r="M17" s="50"/>
      <c r="N17" s="47">
        <v>0</v>
      </c>
      <c r="O17" s="50"/>
      <c r="P17" s="47">
        <v>0</v>
      </c>
      <c r="Q17" s="50"/>
      <c r="R17" s="47">
        <v>1</v>
      </c>
      <c r="S17" s="50"/>
      <c r="T17" s="47">
        <v>0</v>
      </c>
      <c r="U17" s="50"/>
      <c r="V17" s="47">
        <v>0</v>
      </c>
    </row>
    <row r="18" spans="1:22" ht="15.75" x14ac:dyDescent="0.25">
      <c r="A18" s="51" t="s">
        <v>65</v>
      </c>
      <c r="B18" s="52">
        <f>B15+B13+B11+B5</f>
        <v>100</v>
      </c>
      <c r="C18" s="65">
        <f>C15+C13+C11+C5</f>
        <v>3.6</v>
      </c>
      <c r="D18" s="52">
        <f>D15+D13+D11+D5</f>
        <v>9</v>
      </c>
      <c r="E18" s="65">
        <f>E15+E13+E11+E5</f>
        <v>2.7</v>
      </c>
      <c r="F18" s="53">
        <f>F15+F13+F11+F5</f>
        <v>7.5</v>
      </c>
      <c r="G18" s="53">
        <f t="shared" ref="G18:P18" si="24">G15+G13+G11+G5</f>
        <v>2.62</v>
      </c>
      <c r="H18" s="53">
        <f t="shared" si="24"/>
        <v>6.7</v>
      </c>
      <c r="I18" s="53">
        <f t="shared" si="24"/>
        <v>2.2400000000000002</v>
      </c>
      <c r="J18" s="53">
        <f t="shared" si="24"/>
        <v>5.4</v>
      </c>
      <c r="K18" s="53">
        <f t="shared" si="24"/>
        <v>2.8200000000000003</v>
      </c>
      <c r="L18" s="53">
        <f t="shared" si="24"/>
        <v>7.7</v>
      </c>
      <c r="M18" s="53">
        <f t="shared" si="24"/>
        <v>2.4200000000000004</v>
      </c>
      <c r="N18" s="53">
        <f t="shared" si="24"/>
        <v>5.7</v>
      </c>
      <c r="O18" s="66">
        <f>O15+O13+O11+O5</f>
        <v>1.64</v>
      </c>
      <c r="P18" s="53">
        <f t="shared" si="24"/>
        <v>4.4000000000000004</v>
      </c>
      <c r="Q18" s="65">
        <f>Q15+Q13+Q11+Q5</f>
        <v>3.0599999999999996</v>
      </c>
      <c r="R18" s="53">
        <f>R15+R13+R11+R5</f>
        <v>8.1</v>
      </c>
      <c r="S18" s="53">
        <f t="shared" ref="S18:T18" si="25">S15+S13+S11+S5</f>
        <v>2.8</v>
      </c>
      <c r="T18" s="53">
        <f t="shared" si="25"/>
        <v>7</v>
      </c>
      <c r="U18" s="65">
        <f>U15+U13+U11+U5</f>
        <v>2.2400000000000002</v>
      </c>
      <c r="V18" s="53">
        <f>V15+V13+V11+V5</f>
        <v>5.4</v>
      </c>
    </row>
    <row r="19" spans="1:22" ht="15.75" x14ac:dyDescent="0.25">
      <c r="A19" s="51" t="s">
        <v>66</v>
      </c>
      <c r="B19" s="54"/>
      <c r="C19" s="101">
        <f>C18/E22</f>
        <v>1</v>
      </c>
      <c r="D19" s="101"/>
      <c r="E19" s="101">
        <f>E18/E22</f>
        <v>0.75</v>
      </c>
      <c r="F19" s="101"/>
      <c r="G19" s="102">
        <f>G18/E22</f>
        <v>0.72777777777777775</v>
      </c>
      <c r="H19" s="103"/>
      <c r="I19" s="102">
        <f>I18/E22</f>
        <v>0.62222222222222223</v>
      </c>
      <c r="J19" s="103"/>
      <c r="K19" s="102">
        <f>K18/E22</f>
        <v>0.78333333333333344</v>
      </c>
      <c r="L19" s="103"/>
      <c r="M19" s="102">
        <f>M18/E22</f>
        <v>0.67222222222222228</v>
      </c>
      <c r="N19" s="103"/>
      <c r="O19" s="102">
        <f>O18/E22</f>
        <v>0.45555555555555549</v>
      </c>
      <c r="P19" s="103"/>
      <c r="Q19" s="102">
        <f>Q18/E22</f>
        <v>0.84999999999999987</v>
      </c>
      <c r="R19" s="103"/>
      <c r="S19" s="102">
        <f>S18/E22</f>
        <v>0.77777777777777768</v>
      </c>
      <c r="T19" s="103"/>
      <c r="U19" s="102">
        <f>U18/E22</f>
        <v>0.62222222222222223</v>
      </c>
      <c r="V19" s="103"/>
    </row>
    <row r="20" spans="1:22" ht="15.75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</row>
    <row r="21" spans="1:22" x14ac:dyDescent="0.25">
      <c r="A21" s="3"/>
      <c r="B21" s="2"/>
      <c r="C21" s="2"/>
      <c r="D21" s="2"/>
      <c r="E21" s="2"/>
    </row>
    <row r="22" spans="1:22" ht="15.75" x14ac:dyDescent="0.25">
      <c r="A22" s="56" t="s">
        <v>67</v>
      </c>
      <c r="B22" s="57"/>
      <c r="C22" s="57"/>
      <c r="D22" s="57"/>
      <c r="E22" s="58">
        <f>(60*5/100)+(10*1/100)+(10*1/100)+(20*2/100)</f>
        <v>3.6</v>
      </c>
    </row>
  </sheetData>
  <mergeCells count="29">
    <mergeCell ref="S19:T19"/>
    <mergeCell ref="U19:V19"/>
    <mergeCell ref="G19:H19"/>
    <mergeCell ref="I19:J19"/>
    <mergeCell ref="K19:L19"/>
    <mergeCell ref="M19:N19"/>
    <mergeCell ref="O19:P19"/>
    <mergeCell ref="Q19:R19"/>
    <mergeCell ref="B16:B17"/>
    <mergeCell ref="C16:C17"/>
    <mergeCell ref="D16:D17"/>
    <mergeCell ref="E16:E17"/>
    <mergeCell ref="C19:D19"/>
    <mergeCell ref="E19:F19"/>
    <mergeCell ref="M3:N3"/>
    <mergeCell ref="O3:P3"/>
    <mergeCell ref="Q3:R3"/>
    <mergeCell ref="S3:T3"/>
    <mergeCell ref="U3:V3"/>
    <mergeCell ref="E6:E10"/>
    <mergeCell ref="A3:A4"/>
    <mergeCell ref="B3:B4"/>
    <mergeCell ref="C3:C4"/>
    <mergeCell ref="D3:D4"/>
    <mergeCell ref="E3:F3"/>
    <mergeCell ref="G3:H3"/>
    <mergeCell ref="I3:J3"/>
    <mergeCell ref="K3:L3"/>
    <mergeCell ref="A1:V1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показателей МУК</vt:lpstr>
      <vt:lpstr>Отчет о результатах мониторинга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2021-05-31T01:58:53Z</dcterms:modified>
</cp:coreProperties>
</file>