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135"/>
  </bookViews>
  <sheets>
    <sheet name="Расчет показателей МРУО" sheetId="6" r:id="rId1"/>
    <sheet name="Отчет МРУО" sheetId="9" r:id="rId2"/>
  </sheets>
  <definedNames>
    <definedName name="_xlnm.Print_Titles" localSheetId="0">'Расчет показателей МРУО'!$A:$A</definedName>
    <definedName name="_xlnm.Print_Area" localSheetId="1">'Отчет МРУО'!$A$1:$BK$28</definedName>
    <definedName name="_xlnm.Print_Area" localSheetId="0">'Расчет показателей МРУО'!$A$1:$V$34</definedName>
  </definedNames>
  <calcPr calcId="152511"/>
</workbook>
</file>

<file path=xl/calcChain.xml><?xml version="1.0" encoding="utf-8"?>
<calcChain xmlns="http://schemas.openxmlformats.org/spreadsheetml/2006/main">
  <c r="D9" i="9" l="1"/>
  <c r="N9" i="6"/>
  <c r="H34" i="6" l="1"/>
  <c r="F34" i="6"/>
  <c r="H33" i="6"/>
  <c r="F33" i="6"/>
  <c r="H32" i="6"/>
  <c r="F32" i="6"/>
  <c r="H31" i="6"/>
  <c r="F31" i="6"/>
  <c r="H30" i="6"/>
  <c r="F30" i="6"/>
  <c r="H29" i="6"/>
  <c r="F29" i="6"/>
  <c r="H28" i="6"/>
  <c r="F28" i="6"/>
  <c r="H27" i="6"/>
  <c r="F27" i="6"/>
  <c r="H26" i="6"/>
  <c r="F26" i="6"/>
  <c r="H25" i="6"/>
  <c r="F25" i="6"/>
  <c r="H24" i="6"/>
  <c r="F24" i="6"/>
  <c r="H23" i="6"/>
  <c r="F23" i="6"/>
  <c r="H22" i="6"/>
  <c r="F22" i="6"/>
  <c r="H21" i="6"/>
  <c r="F21" i="6"/>
  <c r="H20" i="6"/>
  <c r="F20" i="6"/>
  <c r="H19" i="6"/>
  <c r="F19" i="6"/>
  <c r="H18" i="6"/>
  <c r="F18" i="6"/>
  <c r="H17" i="6"/>
  <c r="F17" i="6"/>
  <c r="H16" i="6"/>
  <c r="F16" i="6"/>
  <c r="H15" i="6"/>
  <c r="F15" i="6"/>
  <c r="H13" i="6"/>
  <c r="F13" i="6"/>
  <c r="H12" i="6"/>
  <c r="F12" i="6"/>
  <c r="H11" i="6"/>
  <c r="F11" i="6"/>
  <c r="H10" i="6"/>
  <c r="F10" i="6"/>
  <c r="H9" i="6"/>
  <c r="F9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3" i="6"/>
  <c r="D12" i="6"/>
  <c r="D11" i="6"/>
  <c r="D10" i="6"/>
  <c r="D9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AG9" i="9" l="1"/>
  <c r="AF9" i="9" s="1"/>
  <c r="I9" i="9"/>
  <c r="H9" i="9" s="1"/>
  <c r="BE19" i="9"/>
  <c r="BD19" i="9" s="1"/>
  <c r="BE17" i="9"/>
  <c r="BD17" i="9" s="1"/>
  <c r="BE15" i="9"/>
  <c r="BD15" i="9" s="1"/>
  <c r="BE9" i="9"/>
  <c r="BD9" i="9" s="1"/>
  <c r="BC19" i="9"/>
  <c r="BB19" i="9" s="1"/>
  <c r="BC17" i="9"/>
  <c r="BB17" i="9" s="1"/>
  <c r="BC15" i="9"/>
  <c r="BB15" i="9" s="1"/>
  <c r="BC9" i="9"/>
  <c r="BB9" i="9" s="1"/>
  <c r="BA19" i="9"/>
  <c r="AZ19" i="9" s="1"/>
  <c r="BA17" i="9"/>
  <c r="AZ17" i="9" s="1"/>
  <c r="BA15" i="9"/>
  <c r="AZ15" i="9" s="1"/>
  <c r="BA9" i="9"/>
  <c r="AZ9" i="9" s="1"/>
  <c r="AY19" i="9"/>
  <c r="AX19" i="9" s="1"/>
  <c r="AY17" i="9"/>
  <c r="AX17" i="9" s="1"/>
  <c r="AY15" i="9"/>
  <c r="AX15" i="9" s="1"/>
  <c r="AY9" i="9"/>
  <c r="AX9" i="9" s="1"/>
  <c r="AW19" i="9"/>
  <c r="AV19" i="9" s="1"/>
  <c r="AW17" i="9"/>
  <c r="AV17" i="9" s="1"/>
  <c r="AW15" i="9"/>
  <c r="AV15" i="9" s="1"/>
  <c r="AW9" i="9"/>
  <c r="AV9" i="9" s="1"/>
  <c r="AU19" i="9"/>
  <c r="AT19" i="9" s="1"/>
  <c r="AU17" i="9"/>
  <c r="AT17" i="9" s="1"/>
  <c r="AU15" i="9"/>
  <c r="AT15" i="9" s="1"/>
  <c r="AU9" i="9"/>
  <c r="AT9" i="9" s="1"/>
  <c r="AS19" i="9"/>
  <c r="AR19" i="9" s="1"/>
  <c r="AS17" i="9"/>
  <c r="AR17" i="9" s="1"/>
  <c r="AS15" i="9"/>
  <c r="AR15" i="9" s="1"/>
  <c r="AS9" i="9"/>
  <c r="AR9" i="9" s="1"/>
  <c r="AQ19" i="9"/>
  <c r="AP19" i="9" s="1"/>
  <c r="AQ17" i="9"/>
  <c r="AP17" i="9" s="1"/>
  <c r="AQ15" i="9"/>
  <c r="AP15" i="9" s="1"/>
  <c r="AQ9" i="9"/>
  <c r="AP9" i="9" s="1"/>
  <c r="AO19" i="9"/>
  <c r="AN19" i="9" s="1"/>
  <c r="AO17" i="9"/>
  <c r="AN17" i="9" s="1"/>
  <c r="AO15" i="9"/>
  <c r="AN15" i="9" s="1"/>
  <c r="AO9" i="9"/>
  <c r="AN9" i="9" s="1"/>
  <c r="AM19" i="9"/>
  <c r="AL19" i="9" s="1"/>
  <c r="AM17" i="9"/>
  <c r="AL17" i="9" s="1"/>
  <c r="AM15" i="9"/>
  <c r="AL15" i="9" s="1"/>
  <c r="AM9" i="9"/>
  <c r="AL9" i="9" s="1"/>
  <c r="AK19" i="9"/>
  <c r="AJ19" i="9" s="1"/>
  <c r="AK17" i="9"/>
  <c r="AJ17" i="9" s="1"/>
  <c r="AK15" i="9"/>
  <c r="AJ15" i="9" s="1"/>
  <c r="AK9" i="9"/>
  <c r="AJ9" i="9" s="1"/>
  <c r="AI19" i="9"/>
  <c r="AH19" i="9" s="1"/>
  <c r="AI17" i="9"/>
  <c r="AH17" i="9" s="1"/>
  <c r="AI15" i="9"/>
  <c r="AH15" i="9" s="1"/>
  <c r="AI9" i="9"/>
  <c r="AH9" i="9" s="1"/>
  <c r="AG19" i="9"/>
  <c r="AF19" i="9" s="1"/>
  <c r="AG17" i="9"/>
  <c r="AF17" i="9" s="1"/>
  <c r="AG15" i="9"/>
  <c r="AF15" i="9" s="1"/>
  <c r="AE19" i="9"/>
  <c r="AD19" i="9" s="1"/>
  <c r="AE17" i="9"/>
  <c r="AD17" i="9" s="1"/>
  <c r="AE15" i="9"/>
  <c r="AD15" i="9" s="1"/>
  <c r="AE9" i="9"/>
  <c r="AD9" i="9" s="1"/>
  <c r="AC19" i="9"/>
  <c r="AB19" i="9" s="1"/>
  <c r="AC17" i="9"/>
  <c r="AB17" i="9" s="1"/>
  <c r="AC15" i="9"/>
  <c r="AB15" i="9" s="1"/>
  <c r="AC9" i="9"/>
  <c r="AB9" i="9" s="1"/>
  <c r="AA19" i="9"/>
  <c r="Z19" i="9" s="1"/>
  <c r="AA17" i="9"/>
  <c r="Z17" i="9" s="1"/>
  <c r="AA15" i="9"/>
  <c r="Z15" i="9" s="1"/>
  <c r="AA9" i="9"/>
  <c r="Z9" i="9" s="1"/>
  <c r="Y19" i="9"/>
  <c r="X19" i="9" s="1"/>
  <c r="Y17" i="9"/>
  <c r="X17" i="9" s="1"/>
  <c r="Y15" i="9"/>
  <c r="X15" i="9" s="1"/>
  <c r="Y9" i="9"/>
  <c r="X9" i="9" s="1"/>
  <c r="W19" i="9"/>
  <c r="V19" i="9" s="1"/>
  <c r="W17" i="9"/>
  <c r="V17" i="9" s="1"/>
  <c r="W15" i="9"/>
  <c r="V15" i="9" s="1"/>
  <c r="W9" i="9"/>
  <c r="V9" i="9" s="1"/>
  <c r="U19" i="9"/>
  <c r="T19" i="9" s="1"/>
  <c r="U17" i="9"/>
  <c r="T17" i="9" s="1"/>
  <c r="U15" i="9"/>
  <c r="T15" i="9" s="1"/>
  <c r="U9" i="9"/>
  <c r="T9" i="9" s="1"/>
  <c r="AK22" i="9" l="1"/>
  <c r="BD22" i="9"/>
  <c r="BA22" i="9"/>
  <c r="AW22" i="9"/>
  <c r="AQ22" i="9"/>
  <c r="BB22" i="9"/>
  <c r="AZ22" i="9"/>
  <c r="AI22" i="9"/>
  <c r="AG22" i="9"/>
  <c r="AV22" i="9"/>
  <c r="AR22" i="9"/>
  <c r="AC22" i="9"/>
  <c r="AA22" i="9"/>
  <c r="AP22" i="9"/>
  <c r="W22" i="9"/>
  <c r="U22" i="9"/>
  <c r="AJ22" i="9"/>
  <c r="BE22" i="9"/>
  <c r="BC22" i="9"/>
  <c r="AX22" i="9"/>
  <c r="AY22" i="9"/>
  <c r="AT22" i="9"/>
  <c r="AU22" i="9"/>
  <c r="AS22" i="9"/>
  <c r="AO22" i="9"/>
  <c r="AL22" i="9"/>
  <c r="AM22" i="9"/>
  <c r="AE22" i="9"/>
  <c r="Y22" i="9"/>
  <c r="T22" i="9"/>
  <c r="F28" i="9"/>
  <c r="D19" i="9"/>
  <c r="G9" i="9"/>
  <c r="F9" i="9" s="1"/>
  <c r="S19" i="9"/>
  <c r="Q19" i="9"/>
  <c r="P19" i="9" s="1"/>
  <c r="S17" i="9"/>
  <c r="R17" i="9" s="1"/>
  <c r="Q17" i="9"/>
  <c r="P17" i="9" s="1"/>
  <c r="S15" i="9"/>
  <c r="R15" i="9" s="1"/>
  <c r="Q15" i="9"/>
  <c r="P15" i="9" s="1"/>
  <c r="S9" i="9"/>
  <c r="Q9" i="9"/>
  <c r="AF22" i="9" s="1"/>
  <c r="O19" i="9"/>
  <c r="M19" i="9"/>
  <c r="O17" i="9"/>
  <c r="N17" i="9" s="1"/>
  <c r="M17" i="9"/>
  <c r="L17" i="9" s="1"/>
  <c r="O15" i="9"/>
  <c r="N15" i="9" s="1"/>
  <c r="M15" i="9"/>
  <c r="L15" i="9" s="1"/>
  <c r="O9" i="9"/>
  <c r="M9" i="9"/>
  <c r="L9" i="9" s="1"/>
  <c r="AF23" i="9" l="1"/>
  <c r="T23" i="9"/>
  <c r="AL23" i="9"/>
  <c r="AT23" i="9"/>
  <c r="AR23" i="9"/>
  <c r="AZ23" i="9"/>
  <c r="AP23" i="9"/>
  <c r="AV23" i="9"/>
  <c r="BB23" i="9"/>
  <c r="AX23" i="9"/>
  <c r="AJ23" i="9"/>
  <c r="BD23" i="9"/>
  <c r="AN22" i="9"/>
  <c r="AN23" i="9" s="1"/>
  <c r="R19" i="9"/>
  <c r="AH22" i="9"/>
  <c r="AH23" i="9" s="1"/>
  <c r="S22" i="9"/>
  <c r="R9" i="9"/>
  <c r="P9" i="9"/>
  <c r="P22" i="9" s="1"/>
  <c r="P23" i="9" s="1"/>
  <c r="Q22" i="9"/>
  <c r="N19" i="9"/>
  <c r="AD22" i="9"/>
  <c r="AD23" i="9" s="1"/>
  <c r="N9" i="9"/>
  <c r="O22" i="9"/>
  <c r="AB22" i="9"/>
  <c r="AB23" i="9" s="1"/>
  <c r="L19" i="9"/>
  <c r="L22" i="9" s="1"/>
  <c r="L23" i="9" s="1"/>
  <c r="M22" i="9"/>
  <c r="R22" i="9" l="1"/>
  <c r="R23" i="9" s="1"/>
  <c r="N22" i="9"/>
  <c r="N23" i="9" s="1"/>
  <c r="K19" i="9" l="1"/>
  <c r="I19" i="9"/>
  <c r="K17" i="9"/>
  <c r="I17" i="9"/>
  <c r="H17" i="9" s="1"/>
  <c r="E22" i="9"/>
  <c r="G19" i="9"/>
  <c r="G17" i="9"/>
  <c r="G15" i="9"/>
  <c r="F15" i="9" s="1"/>
  <c r="C22" i="9"/>
  <c r="D17" i="9"/>
  <c r="D22" i="9" s="1"/>
  <c r="K15" i="9"/>
  <c r="J15" i="9" s="1"/>
  <c r="I15" i="9"/>
  <c r="H15" i="9" s="1"/>
  <c r="D15" i="9"/>
  <c r="K9" i="9"/>
  <c r="X22" i="9"/>
  <c r="X23" i="9" s="1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Z22" i="9" l="1"/>
  <c r="Z23" i="9" s="1"/>
  <c r="J9" i="9"/>
  <c r="K22" i="9"/>
  <c r="F17" i="9"/>
  <c r="V22" i="9"/>
  <c r="V23" i="9" s="1"/>
  <c r="G22" i="9"/>
  <c r="I22" i="9"/>
  <c r="J19" i="9"/>
  <c r="F19" i="9"/>
  <c r="J17" i="9"/>
  <c r="H19" i="9"/>
  <c r="H22" i="9" s="1"/>
  <c r="H23" i="9" s="1"/>
  <c r="J22" i="9" l="1"/>
  <c r="J23" i="9" s="1"/>
  <c r="F22" i="9"/>
  <c r="F23" i="9" s="1"/>
</calcChain>
</file>

<file path=xl/sharedStrings.xml><?xml version="1.0" encoding="utf-8"?>
<sst xmlns="http://schemas.openxmlformats.org/spreadsheetml/2006/main" count="233" uniqueCount="95">
  <si>
    <t>МКОУ СОШ №9</t>
  </si>
  <si>
    <t>МКУ "МРУО"</t>
  </si>
  <si>
    <t>МКОУ СОШ- ЭКЦ № 10</t>
  </si>
  <si>
    <t>МКОУ "Школа-интернат"</t>
  </si>
  <si>
    <t>МКОУ "СОШ 15"</t>
  </si>
  <si>
    <t>МКОУ "СОШ №6" с.Арылах</t>
  </si>
  <si>
    <t>МБОУ ДО "ЦДОД "Творчество""</t>
  </si>
  <si>
    <t>МБУ ДО "ЦДОД" г. Удачный</t>
  </si>
  <si>
    <t>МБОУ  "Политехнический лицей"</t>
  </si>
  <si>
    <t>МБОУ "СОШ №7"</t>
  </si>
  <si>
    <t>МБОУ "СОШ №5"</t>
  </si>
  <si>
    <t>МБОУ  "СОШ № 3"</t>
  </si>
  <si>
    <t>МАОУ "СОШ №8"</t>
  </si>
  <si>
    <t xml:space="preserve">единица измерения </t>
  </si>
  <si>
    <t>МОБУ ДО "ЦПМСС "Доверие"</t>
  </si>
  <si>
    <t>балл</t>
  </si>
  <si>
    <t>оценка показателя Р22</t>
  </si>
  <si>
    <t>оценка показателя Р23</t>
  </si>
  <si>
    <t>оценка показателя Р1</t>
  </si>
  <si>
    <t>оценка показателя Р2</t>
  </si>
  <si>
    <t>оценка показателя Р3</t>
  </si>
  <si>
    <t>оценка показателя Р4</t>
  </si>
  <si>
    <t>оценка показателя Р17</t>
  </si>
  <si>
    <t>оценка показателя Р20</t>
  </si>
  <si>
    <t xml:space="preserve">Итоговая оценка </t>
  </si>
  <si>
    <t>Рейтинг</t>
  </si>
  <si>
    <t>1. ПОКАЗАТЕЛТИ КАЧЕСТВА УПРАВЛЕНИЯ РАСХОДАМИ</t>
  </si>
  <si>
    <t>Качественное планирование расходов (Р1)</t>
  </si>
  <si>
    <t>Равномерность расходов (Р2)</t>
  </si>
  <si>
    <t>Доля неисполненных на конец отчетного года бюджетных ассигнований (Р3)</t>
  </si>
  <si>
    <t>Изменение дебиторской задолженности ГРБС и муниципальных подведомственных ему учреждений в отчетном периоде по сравнению с началом года (Р4)</t>
  </si>
  <si>
    <t>Наличие судебных актов Российской Федерации и мировых соглашений по возмещению вреда, причиненного в результате незаконных действий (бездействия) главного администратора либо его должностных лиц (Р14)</t>
  </si>
  <si>
    <t>Расчет показателя</t>
  </si>
  <si>
    <t>Достоверность бюджетной отчетности</t>
  </si>
  <si>
    <t>Доля недостач и хищений денежных средств и материальных ценностей</t>
  </si>
  <si>
    <t>Неправомерное использование бюджетных средств, в том числе нецелевое использование бюджетных средств</t>
  </si>
  <si>
    <t>Несоблюдение правил планирования закупок</t>
  </si>
  <si>
    <t>Р1=КР*(1-G/B)</t>
  </si>
  <si>
    <t>Р2=(Е-Еср)*100/Еср</t>
  </si>
  <si>
    <t>P3=Е/Д*100</t>
  </si>
  <si>
    <t>Р4=100*(Д.з. отч.п/Д.з. н.г.)</t>
  </si>
  <si>
    <t>оценка показателя Р14</t>
  </si>
  <si>
    <t>P14=Sv/E</t>
  </si>
  <si>
    <t>ГРБС 3 МКУ "Мирнинское районное управление образования"</t>
  </si>
  <si>
    <t>Р17 наличие/отсутствие</t>
  </si>
  <si>
    <t xml:space="preserve">      Р20= 100 T / (O + M),</t>
  </si>
  <si>
    <t>P22 = Qz,</t>
  </si>
  <si>
    <t>P23 = Qz,</t>
  </si>
  <si>
    <t>МАОУ  "СОШ № 12"</t>
  </si>
  <si>
    <t>МАОУ "СОШ №19 ИМ. Л.А.ПОПУГАЕВОЙ"</t>
  </si>
  <si>
    <t>МАОУ "СОШ № 24"</t>
  </si>
  <si>
    <t>главных  распорядителей бюджетных средств</t>
  </si>
  <si>
    <t>по  качеству финансового менеджмента</t>
  </si>
  <si>
    <t>НАИМЕНОВАНИЕ БЛОКА</t>
  </si>
  <si>
    <t>ВЕС ГРУППЫ В ОЦЕНКЕ</t>
  </si>
  <si>
    <t>оценка качества по блоку (Е итог)</t>
  </si>
  <si>
    <t>1.</t>
  </si>
  <si>
    <t>2.</t>
  </si>
  <si>
    <t>3.</t>
  </si>
  <si>
    <t>4.</t>
  </si>
  <si>
    <t>6.</t>
  </si>
  <si>
    <t xml:space="preserve">СУММАРНАЯ ОЦЕНКА </t>
  </si>
  <si>
    <t>7.</t>
  </si>
  <si>
    <t>ИТОГОВАЯ ОЦЕНКА КАЧЕСТВА (Q)</t>
  </si>
  <si>
    <t>ПОКАЗАТЕЛИ КАЧЕСТВА ВЕДЕНИЯ УЧЕТА И СОСТАВЛЕНИЯ БЮДЖЕТНОЙ ОТЧЕТНОСТИ</t>
  </si>
  <si>
    <t>ПОКАЗАТЕЛИ КАЧЕСТВА УПРАВЛЕНИЯ РАСХОДАМИ</t>
  </si>
  <si>
    <t>ПОКАЗАТЕЛИ КАЧЕСТВА УПРАВЛЕНИЯ АКТИВАМИ</t>
  </si>
  <si>
    <t>ПОКАЗАТЕЛИ КАЧЕСТВА ОРГАНИЗАЦИИ И ОСУЩЕСТВЛЕНИЯ ФИНАНСОВОГО КОНТРОЛЯ</t>
  </si>
  <si>
    <t>0</t>
  </si>
  <si>
    <t>отсутствие</t>
  </si>
  <si>
    <t>Целевой показатель оценки качества по блоку (Е итог)</t>
  </si>
  <si>
    <t>Целевой показатель (балл)</t>
  </si>
  <si>
    <t xml:space="preserve">2. ПОКАЗАТЕЛИ
КАЧЕСТВА ВЕДЕНИЯ УЧЕТА И СОСТАВЛЕНИЯ БЮДЖЕТНОЙ ОТЧЕТНОСТИ
</t>
  </si>
  <si>
    <t>3. КАЧЕСТВО УПРАВЛЕНИЯ АКТИВАМИ</t>
  </si>
  <si>
    <t>4. ПОКАЗАТЕЛИ КАЧЕСТВА ОРГАНИЗАЦИИ И ОСУЩЕСТВЛЕНИЯ ФИНАНСОВОГО КОНТРОЛЯ</t>
  </si>
  <si>
    <t>5. РЕЗУЛЬТАТ</t>
  </si>
  <si>
    <t>Неправомерное использование бюджетных средств, в том числе нецелевое использование бюджетных средств (* в случае, если проверка в отчетном году не проводилась, применяется оценка показателя равная 1)</t>
  </si>
  <si>
    <t>Несоблюдение правил планирования закупок (* в случае, если проверка в отчетном году не проводилась, применяется оценка показателя равная 1)</t>
  </si>
  <si>
    <t>Отчет о результатах мониторинга</t>
  </si>
  <si>
    <t>удовлетворительно</t>
  </si>
  <si>
    <t>хорошо</t>
  </si>
  <si>
    <t>МКОУ ДО ЦТ п.Светлый</t>
  </si>
  <si>
    <t>МБОУ "СОШ № 1"</t>
  </si>
  <si>
    <t>МАОУ "СОШ №26"</t>
  </si>
  <si>
    <t>МАОУ "СОШ №23 им.Г.А.Кадзова"</t>
  </si>
  <si>
    <t>МАОУ "СОШ № 4"</t>
  </si>
  <si>
    <t>МУ ДО "ЦДО "НАДЕЖДА"</t>
  </si>
  <si>
    <t>МАУ ДО "ЦДО" г.Мирный</t>
  </si>
  <si>
    <t>МАУ ДО "ЦДО" г. Мирный в п. Светлый</t>
  </si>
  <si>
    <t>МАУ ДО "ДЮСШ"</t>
  </si>
  <si>
    <t>МАОУ "СОШ №23"</t>
  </si>
  <si>
    <t>МАОУ "СОШ  №26"</t>
  </si>
  <si>
    <t>МБОУ СОШ №4</t>
  </si>
  <si>
    <t>E Мах = 3,60 = (60*5/100)+(10*1/100)+(10*1/100)+(20*2/100)</t>
  </si>
  <si>
    <t>ПОКАЗАТЕЛИ ДЛЯ ОЦЕНКИ КАЧЕСТВА ФИНАНСОВОГО МЕНЕДЖМЕНТА ПОДВЕДОМСТВЕННЫХ УЧРЕЖДЕНИЙ ГРБС "МИРНИНСКОЕ РАЙОННОЕ УПРАВЛЕНИЕ ОБРАЗОВАНИЯ"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</si>
</sst>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3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vertical="center"/>
    </xf>
    <xf numFmtId="0" fontId="8" fillId="9" borderId="8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/>
    </xf>
    <xf numFmtId="0" fontId="9" fillId="0" borderId="1" xfId="0" applyFont="1" applyBorder="1"/>
    <xf numFmtId="0" fontId="8" fillId="0" borderId="0" xfId="0" applyFont="1"/>
    <xf numFmtId="0" fontId="8" fillId="4" borderId="1" xfId="0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/>
    </xf>
    <xf numFmtId="1" fontId="8" fillId="3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165" fontId="1" fillId="4" borderId="1" xfId="1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164" fontId="1" fillId="4" borderId="1" xfId="1" applyFont="1" applyFill="1" applyBorder="1" applyAlignment="1">
      <alignment horizontal="center" vertical="center"/>
    </xf>
    <xf numFmtId="2" fontId="1" fillId="4" borderId="0" xfId="0" applyNumberFormat="1" applyFont="1" applyFill="1" applyAlignment="1">
      <alignment horizontal="center" vertical="center"/>
    </xf>
    <xf numFmtId="49" fontId="2" fillId="4" borderId="0" xfId="0" applyNumberFormat="1" applyFont="1" applyFill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2" fontId="8" fillId="9" borderId="1" xfId="0" applyNumberFormat="1" applyFont="1" applyFill="1" applyBorder="1" applyAlignment="1">
      <alignment horizontal="center" vertical="center"/>
    </xf>
    <xf numFmtId="2" fontId="9" fillId="0" borderId="0" xfId="0" applyNumberFormat="1" applyFont="1"/>
    <xf numFmtId="0" fontId="10" fillId="0" borderId="1" xfId="0" applyFont="1" applyBorder="1" applyAlignment="1">
      <alignment horizontal="center" vertical="center"/>
    </xf>
    <xf numFmtId="0" fontId="8" fillId="9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2" fontId="8" fillId="3" borderId="3" xfId="0" applyNumberFormat="1" applyFont="1" applyFill="1" applyBorder="1" applyAlignment="1">
      <alignment vertic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2" fontId="2" fillId="10" borderId="1" xfId="0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8" fillId="0" borderId="0" xfId="0" applyFont="1"/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2" fontId="8" fillId="3" borderId="3" xfId="0" applyNumberFormat="1" applyFont="1" applyFill="1" applyBorder="1" applyAlignment="1">
      <alignment horizontal="center" vertical="center"/>
    </xf>
    <xf numFmtId="2" fontId="8" fillId="3" borderId="5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5</xdr:row>
      <xdr:rowOff>0</xdr:rowOff>
    </xdr:from>
    <xdr:to>
      <xdr:col>13</xdr:col>
      <xdr:colOff>133350</xdr:colOff>
      <xdr:row>5</xdr:row>
      <xdr:rowOff>190500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04725" y="2971800"/>
          <a:ext cx="1333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5"/>
  <sheetViews>
    <sheetView tabSelected="1" view="pageBreakPreview" zoomScale="75" zoomScaleNormal="75" zoomScaleSheetLayoutView="75" workbookViewId="0">
      <pane xSplit="1" ySplit="6" topLeftCell="G7" activePane="bottomRight" state="frozen"/>
      <selection pane="topRight" activeCell="B1" sqref="B1"/>
      <selection pane="bottomLeft" activeCell="A7" sqref="A7"/>
      <selection pane="bottomRight" activeCell="L6" sqref="L6"/>
    </sheetView>
  </sheetViews>
  <sheetFormatPr defaultRowHeight="15" x14ac:dyDescent="0.25"/>
  <cols>
    <col min="1" max="1" width="44.28515625" style="48" customWidth="1"/>
    <col min="2" max="2" width="14.140625" style="2" customWidth="1"/>
    <col min="3" max="3" width="13" style="2" customWidth="1"/>
    <col min="4" max="5" width="14.140625" style="2" customWidth="1"/>
    <col min="6" max="6" width="15.5703125" style="2" customWidth="1"/>
    <col min="7" max="11" width="14.140625" style="2" customWidth="1"/>
    <col min="12" max="13" width="15.140625" style="2" customWidth="1"/>
    <col min="14" max="14" width="16.140625" style="2" customWidth="1"/>
    <col min="15" max="15" width="14.140625" style="2" customWidth="1"/>
    <col min="16" max="16" width="17.7109375" style="2" customWidth="1"/>
    <col min="17" max="17" width="14.28515625" style="2" customWidth="1"/>
    <col min="18" max="19" width="14.42578125" style="2" customWidth="1"/>
    <col min="20" max="20" width="18.7109375" style="2" customWidth="1"/>
    <col min="21" max="21" width="9.7109375" style="2" customWidth="1"/>
    <col min="22" max="22" width="24.5703125" style="2" customWidth="1"/>
    <col min="23" max="16384" width="9.140625" style="2"/>
  </cols>
  <sheetData>
    <row r="2" spans="1:22" ht="15" customHeight="1" x14ac:dyDescent="0.25">
      <c r="A2" s="131" t="s">
        <v>94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</row>
    <row r="3" spans="1:22" ht="22.5" customHeight="1" x14ac:dyDescent="0.25"/>
    <row r="4" spans="1:22" s="3" customFormat="1" ht="91.5" customHeight="1" x14ac:dyDescent="0.25">
      <c r="A4" s="46"/>
      <c r="B4" s="102" t="s">
        <v>26</v>
      </c>
      <c r="C4" s="103"/>
      <c r="D4" s="103"/>
      <c r="E4" s="103"/>
      <c r="F4" s="103"/>
      <c r="G4" s="103"/>
      <c r="H4" s="103"/>
      <c r="I4" s="103"/>
      <c r="J4" s="103"/>
      <c r="K4" s="104"/>
      <c r="L4" s="105" t="s">
        <v>72</v>
      </c>
      <c r="M4" s="106"/>
      <c r="N4" s="107" t="s">
        <v>73</v>
      </c>
      <c r="O4" s="108"/>
      <c r="P4" s="109" t="s">
        <v>74</v>
      </c>
      <c r="Q4" s="110"/>
      <c r="R4" s="110"/>
      <c r="S4" s="111"/>
      <c r="T4" s="93" t="s">
        <v>75</v>
      </c>
      <c r="U4" s="94"/>
    </row>
    <row r="5" spans="1:22" s="1" customFormat="1" ht="104.25" customHeight="1" x14ac:dyDescent="0.25">
      <c r="A5" s="46"/>
      <c r="B5" s="95" t="s">
        <v>27</v>
      </c>
      <c r="C5" s="96"/>
      <c r="D5" s="95" t="s">
        <v>28</v>
      </c>
      <c r="E5" s="96"/>
      <c r="F5" s="95" t="s">
        <v>29</v>
      </c>
      <c r="G5" s="96"/>
      <c r="H5" s="95" t="s">
        <v>30</v>
      </c>
      <c r="I5" s="96"/>
      <c r="J5" s="101" t="s">
        <v>31</v>
      </c>
      <c r="K5" s="101"/>
      <c r="L5" s="98" t="s">
        <v>33</v>
      </c>
      <c r="M5" s="98"/>
      <c r="N5" s="99" t="s">
        <v>34</v>
      </c>
      <c r="O5" s="100"/>
      <c r="P5" s="97" t="s">
        <v>76</v>
      </c>
      <c r="Q5" s="97"/>
      <c r="R5" s="97" t="s">
        <v>77</v>
      </c>
      <c r="S5" s="97"/>
      <c r="T5" s="8" t="s">
        <v>24</v>
      </c>
      <c r="U5" s="8" t="s">
        <v>25</v>
      </c>
    </row>
    <row r="6" spans="1:22" s="1" customFormat="1" ht="45" customHeight="1" x14ac:dyDescent="0.25">
      <c r="A6" s="46" t="s">
        <v>32</v>
      </c>
      <c r="B6" s="53" t="s">
        <v>37</v>
      </c>
      <c r="C6" s="53" t="s">
        <v>18</v>
      </c>
      <c r="D6" s="53" t="s">
        <v>38</v>
      </c>
      <c r="E6" s="53" t="s">
        <v>19</v>
      </c>
      <c r="F6" s="53" t="s">
        <v>39</v>
      </c>
      <c r="G6" s="53" t="s">
        <v>20</v>
      </c>
      <c r="H6" s="53" t="s">
        <v>40</v>
      </c>
      <c r="I6" s="53" t="s">
        <v>21</v>
      </c>
      <c r="J6" s="53" t="s">
        <v>42</v>
      </c>
      <c r="K6" s="53" t="s">
        <v>41</v>
      </c>
      <c r="L6" s="54" t="s">
        <v>44</v>
      </c>
      <c r="M6" s="54" t="s">
        <v>22</v>
      </c>
      <c r="N6" s="14" t="s">
        <v>45</v>
      </c>
      <c r="O6" s="14" t="s">
        <v>23</v>
      </c>
      <c r="P6" s="55" t="s">
        <v>46</v>
      </c>
      <c r="Q6" s="55" t="s">
        <v>16</v>
      </c>
      <c r="R6" s="55" t="s">
        <v>47</v>
      </c>
      <c r="S6" s="55" t="s">
        <v>17</v>
      </c>
      <c r="T6" s="9"/>
      <c r="U6" s="9"/>
    </row>
    <row r="7" spans="1:22" s="6" customFormat="1" ht="14.25" customHeight="1" x14ac:dyDescent="0.25">
      <c r="A7" s="47" t="s">
        <v>13</v>
      </c>
      <c r="B7" s="4"/>
      <c r="C7" s="4" t="s">
        <v>15</v>
      </c>
      <c r="D7" s="4"/>
      <c r="E7" s="4" t="s">
        <v>15</v>
      </c>
      <c r="F7" s="4"/>
      <c r="G7" s="4" t="s">
        <v>15</v>
      </c>
      <c r="H7" s="4"/>
      <c r="I7" s="4" t="s">
        <v>15</v>
      </c>
      <c r="J7" s="5"/>
      <c r="K7" s="4" t="s">
        <v>15</v>
      </c>
      <c r="L7" s="5"/>
      <c r="M7" s="5" t="s">
        <v>15</v>
      </c>
      <c r="N7" s="5"/>
      <c r="O7" s="5" t="s">
        <v>15</v>
      </c>
      <c r="P7" s="5"/>
      <c r="Q7" s="5" t="s">
        <v>15</v>
      </c>
      <c r="R7" s="5"/>
      <c r="S7" s="5" t="s">
        <v>15</v>
      </c>
      <c r="T7" s="5"/>
      <c r="U7" s="5"/>
    </row>
    <row r="8" spans="1:22" s="43" customFormat="1" ht="30.75" customHeight="1" x14ac:dyDescent="0.25">
      <c r="A8" s="89" t="s">
        <v>43</v>
      </c>
      <c r="B8" s="12"/>
      <c r="C8" s="10"/>
      <c r="D8" s="15"/>
      <c r="E8" s="10"/>
      <c r="F8" s="15"/>
      <c r="G8" s="10"/>
      <c r="H8" s="15"/>
      <c r="I8" s="10"/>
      <c r="J8" s="10"/>
      <c r="K8" s="10"/>
      <c r="L8" s="12"/>
      <c r="M8" s="10"/>
      <c r="N8" s="42"/>
      <c r="O8" s="11"/>
      <c r="P8" s="36"/>
      <c r="Q8" s="10"/>
      <c r="R8" s="10"/>
      <c r="S8" s="10"/>
      <c r="T8" s="12"/>
      <c r="U8" s="10"/>
      <c r="V8" s="41"/>
    </row>
    <row r="9" spans="1:22" s="38" customFormat="1" ht="20.25" customHeight="1" x14ac:dyDescent="0.25">
      <c r="A9" s="90" t="s">
        <v>1</v>
      </c>
      <c r="B9" s="16">
        <f>49*(1-(2876284638.77/5722166419.11))</f>
        <v>24.36982726873385</v>
      </c>
      <c r="C9" s="13">
        <v>0.5</v>
      </c>
      <c r="D9" s="40">
        <f>(335470329.83-433574834.42)*100/433574834.42</f>
        <v>-22.626890862159009</v>
      </c>
      <c r="E9" s="13">
        <v>0</v>
      </c>
      <c r="F9" s="16">
        <f>2805717739.61/2876284638.77*100</f>
        <v>97.546595416572657</v>
      </c>
      <c r="G9" s="13">
        <v>1</v>
      </c>
      <c r="H9" s="16">
        <f>100*(841.81/2383.65)</f>
        <v>35.316006964109661</v>
      </c>
      <c r="I9" s="13">
        <v>1</v>
      </c>
      <c r="J9" s="13">
        <v>0</v>
      </c>
      <c r="K9" s="13">
        <v>1</v>
      </c>
      <c r="L9" s="83" t="s">
        <v>69</v>
      </c>
      <c r="M9" s="84">
        <v>1</v>
      </c>
      <c r="N9" s="44">
        <f>100*880781.22/(2097264.35+3433394.18)</f>
        <v>15.925431216235292</v>
      </c>
      <c r="O9" s="17" t="s">
        <v>68</v>
      </c>
      <c r="P9" s="86">
        <v>0</v>
      </c>
      <c r="Q9" s="86">
        <v>1</v>
      </c>
      <c r="R9" s="7">
        <v>0</v>
      </c>
      <c r="S9" s="7">
        <v>1</v>
      </c>
      <c r="T9" s="87">
        <f t="shared" ref="T9:T34" si="0">C9+E9+G9+I9+K9+M9+O9+Q9+S9</f>
        <v>6.5</v>
      </c>
      <c r="U9" s="88">
        <v>0.72</v>
      </c>
      <c r="V9" s="38" t="s">
        <v>80</v>
      </c>
    </row>
    <row r="10" spans="1:22" s="38" customFormat="1" ht="20.25" customHeight="1" x14ac:dyDescent="0.25">
      <c r="A10" s="91" t="s">
        <v>0</v>
      </c>
      <c r="B10" s="16">
        <f>15*(1-(80150447.03/5722166419.11))</f>
        <v>14.789894837480627</v>
      </c>
      <c r="C10" s="13">
        <v>0.7</v>
      </c>
      <c r="D10" s="16">
        <f>(21964440.08-6950322.26)*100/6950322.26</f>
        <v>216.02045571912802</v>
      </c>
      <c r="E10" s="13">
        <v>0</v>
      </c>
      <c r="F10" s="16">
        <f>71948072.71/80150447.03*100</f>
        <v>89.766277514422484</v>
      </c>
      <c r="G10" s="13">
        <v>0.7</v>
      </c>
      <c r="H10" s="16">
        <f>100*(264.88/352.06)</f>
        <v>75.237175481452027</v>
      </c>
      <c r="I10" s="13">
        <v>1</v>
      </c>
      <c r="J10" s="13">
        <v>0</v>
      </c>
      <c r="K10" s="13">
        <v>1</v>
      </c>
      <c r="L10" s="83" t="s">
        <v>69</v>
      </c>
      <c r="M10" s="84">
        <v>1</v>
      </c>
      <c r="N10" s="85">
        <v>0</v>
      </c>
      <c r="O10" s="13">
        <v>1</v>
      </c>
      <c r="P10" s="86">
        <v>0</v>
      </c>
      <c r="Q10" s="86">
        <v>1</v>
      </c>
      <c r="R10" s="7">
        <v>0</v>
      </c>
      <c r="S10" s="7">
        <v>1</v>
      </c>
      <c r="T10" s="87">
        <f t="shared" si="0"/>
        <v>7.4</v>
      </c>
      <c r="U10" s="88">
        <v>0.73</v>
      </c>
      <c r="V10" s="38" t="s">
        <v>80</v>
      </c>
    </row>
    <row r="11" spans="1:22" s="38" customFormat="1" ht="20.25" customHeight="1" x14ac:dyDescent="0.25">
      <c r="A11" s="91" t="s">
        <v>2</v>
      </c>
      <c r="B11" s="16">
        <f>14*(1-(46227120.81/5722166419.11))</f>
        <v>13.886899533509084</v>
      </c>
      <c r="C11" s="13">
        <v>0.7</v>
      </c>
      <c r="D11" s="16">
        <f>(5107106.45-2374740.88)*100/2374740.88</f>
        <v>115.05952472591453</v>
      </c>
      <c r="E11" s="13">
        <v>0</v>
      </c>
      <c r="F11" s="16">
        <f>42180647.89/46227120.81*100</f>
        <v>91.246539154727856</v>
      </c>
      <c r="G11" s="13">
        <v>0.7</v>
      </c>
      <c r="H11" s="16">
        <f>100*(328.46/976.42)</f>
        <v>33.63921263390754</v>
      </c>
      <c r="I11" s="13">
        <v>1</v>
      </c>
      <c r="J11" s="13">
        <v>0</v>
      </c>
      <c r="K11" s="13">
        <v>1</v>
      </c>
      <c r="L11" s="83" t="s">
        <v>69</v>
      </c>
      <c r="M11" s="84">
        <v>1</v>
      </c>
      <c r="N11" s="85">
        <v>0</v>
      </c>
      <c r="O11" s="13">
        <v>1</v>
      </c>
      <c r="P11" s="86">
        <v>0</v>
      </c>
      <c r="Q11" s="86">
        <v>1</v>
      </c>
      <c r="R11" s="7">
        <v>0</v>
      </c>
      <c r="S11" s="7">
        <v>1</v>
      </c>
      <c r="T11" s="87">
        <f t="shared" si="0"/>
        <v>7.4</v>
      </c>
      <c r="U11" s="87">
        <v>0.73</v>
      </c>
      <c r="V11" s="38" t="s">
        <v>80</v>
      </c>
    </row>
    <row r="12" spans="1:22" s="38" customFormat="1" ht="20.25" customHeight="1" x14ac:dyDescent="0.25">
      <c r="A12" s="91" t="s">
        <v>3</v>
      </c>
      <c r="B12" s="16">
        <f>9*(1-(75607613.54/5722166419.11))</f>
        <v>8.8810820112488376</v>
      </c>
      <c r="C12" s="13">
        <v>1</v>
      </c>
      <c r="D12" s="16">
        <f>(392700.29-54314.52)*100/54314.52</f>
        <v>623.01161825603901</v>
      </c>
      <c r="E12" s="13">
        <v>0</v>
      </c>
      <c r="F12" s="16">
        <f>75185429.08/75607613.54*100</f>
        <v>99.441611181423355</v>
      </c>
      <c r="G12" s="13">
        <v>1</v>
      </c>
      <c r="H12" s="16">
        <f>100*(406.36/1719.05)</f>
        <v>23.638637619615487</v>
      </c>
      <c r="I12" s="13">
        <v>1</v>
      </c>
      <c r="J12" s="13">
        <v>0</v>
      </c>
      <c r="K12" s="13">
        <v>1</v>
      </c>
      <c r="L12" s="83" t="s">
        <v>69</v>
      </c>
      <c r="M12" s="84">
        <v>1</v>
      </c>
      <c r="N12" s="85">
        <v>0</v>
      </c>
      <c r="O12" s="13">
        <v>1</v>
      </c>
      <c r="P12" s="86">
        <v>0</v>
      </c>
      <c r="Q12" s="86">
        <v>1</v>
      </c>
      <c r="R12" s="7">
        <v>0</v>
      </c>
      <c r="S12" s="7">
        <v>1</v>
      </c>
      <c r="T12" s="87">
        <f t="shared" si="0"/>
        <v>8</v>
      </c>
      <c r="U12" s="88">
        <v>0.83</v>
      </c>
      <c r="V12" s="38" t="s">
        <v>80</v>
      </c>
    </row>
    <row r="13" spans="1:22" s="38" customFormat="1" ht="20.25" customHeight="1" x14ac:dyDescent="0.25">
      <c r="A13" s="91" t="s">
        <v>4</v>
      </c>
      <c r="B13" s="16">
        <f>14*(1-(62246179.65/5722166419.11))</f>
        <v>13.847706890839513</v>
      </c>
      <c r="C13" s="13">
        <v>0.7</v>
      </c>
      <c r="D13" s="16">
        <f>(7012702.09-4780324.02)*100/4780324.02</f>
        <v>46.699304496099835</v>
      </c>
      <c r="E13" s="13">
        <v>0</v>
      </c>
      <c r="F13" s="16">
        <f>60843507.82/62247179.65*100</f>
        <v>97.745003327231075</v>
      </c>
      <c r="G13" s="13">
        <v>1</v>
      </c>
      <c r="H13" s="16">
        <f>100*(367.29/396.14)</f>
        <v>92.717221184429761</v>
      </c>
      <c r="I13" s="13">
        <v>1</v>
      </c>
      <c r="J13" s="13">
        <v>0</v>
      </c>
      <c r="K13" s="13">
        <v>1</v>
      </c>
      <c r="L13" s="83" t="s">
        <v>69</v>
      </c>
      <c r="M13" s="84">
        <v>1</v>
      </c>
      <c r="N13" s="85">
        <v>0</v>
      </c>
      <c r="O13" s="13">
        <v>1</v>
      </c>
      <c r="P13" s="86">
        <v>0</v>
      </c>
      <c r="Q13" s="86">
        <v>1</v>
      </c>
      <c r="R13" s="7">
        <v>1</v>
      </c>
      <c r="S13" s="7">
        <v>0</v>
      </c>
      <c r="T13" s="87">
        <f t="shared" si="0"/>
        <v>6.7</v>
      </c>
      <c r="U13" s="88">
        <v>0.73</v>
      </c>
      <c r="V13" s="38" t="s">
        <v>80</v>
      </c>
    </row>
    <row r="14" spans="1:22" s="38" customFormat="1" ht="20.25" customHeight="1" x14ac:dyDescent="0.25">
      <c r="A14" s="91" t="s">
        <v>81</v>
      </c>
      <c r="B14" s="16">
        <f>7*(1-(14102753.6/5722166419.11))</f>
        <v>6.9827479195868349</v>
      </c>
      <c r="C14" s="13">
        <v>1</v>
      </c>
      <c r="D14" s="16"/>
      <c r="E14" s="13"/>
      <c r="F14" s="16">
        <v>99.967921158319044</v>
      </c>
      <c r="G14" s="13">
        <v>1</v>
      </c>
      <c r="H14" s="16"/>
      <c r="I14" s="13"/>
      <c r="J14" s="13">
        <v>0</v>
      </c>
      <c r="K14" s="13">
        <v>1</v>
      </c>
      <c r="L14" s="83" t="s">
        <v>69</v>
      </c>
      <c r="M14" s="84">
        <v>1</v>
      </c>
      <c r="N14" s="85">
        <v>0</v>
      </c>
      <c r="O14" s="13">
        <v>1</v>
      </c>
      <c r="P14" s="86">
        <v>0</v>
      </c>
      <c r="Q14" s="86">
        <v>1</v>
      </c>
      <c r="R14" s="7">
        <v>0</v>
      </c>
      <c r="S14" s="7">
        <v>1</v>
      </c>
      <c r="T14" s="87">
        <f t="shared" si="0"/>
        <v>7</v>
      </c>
      <c r="U14" s="88">
        <v>0.67</v>
      </c>
      <c r="V14" s="38" t="s">
        <v>79</v>
      </c>
    </row>
    <row r="15" spans="1:22" s="38" customFormat="1" ht="20.25" customHeight="1" x14ac:dyDescent="0.25">
      <c r="A15" s="91" t="s">
        <v>5</v>
      </c>
      <c r="B15" s="16">
        <f>19*(1-(81423695.8/5722166419.11))</f>
        <v>18.729639072531445</v>
      </c>
      <c r="C15" s="13">
        <v>0.7</v>
      </c>
      <c r="D15" s="16">
        <f>(9517648.9-2694284.27)*100/2694284.27</f>
        <v>253.25332987227816</v>
      </c>
      <c r="E15" s="13">
        <v>0</v>
      </c>
      <c r="F15" s="16">
        <f>66884757.15/81423695.8*100</f>
        <v>82.144093918664893</v>
      </c>
      <c r="G15" s="13">
        <v>0.3</v>
      </c>
      <c r="H15" s="16">
        <f>100*(719.48/1050.2)</f>
        <v>68.508855456103603</v>
      </c>
      <c r="I15" s="13">
        <v>1</v>
      </c>
      <c r="J15" s="13">
        <v>0</v>
      </c>
      <c r="K15" s="13">
        <v>1</v>
      </c>
      <c r="L15" s="83" t="s">
        <v>69</v>
      </c>
      <c r="M15" s="84">
        <v>1</v>
      </c>
      <c r="N15" s="85">
        <v>0</v>
      </c>
      <c r="O15" s="13">
        <v>1</v>
      </c>
      <c r="P15" s="86">
        <v>0</v>
      </c>
      <c r="Q15" s="86">
        <v>1</v>
      </c>
      <c r="R15" s="7">
        <v>0</v>
      </c>
      <c r="S15" s="7">
        <v>1</v>
      </c>
      <c r="T15" s="87">
        <f t="shared" si="0"/>
        <v>7</v>
      </c>
      <c r="U15" s="88">
        <v>0.67</v>
      </c>
      <c r="V15" s="38" t="s">
        <v>79</v>
      </c>
    </row>
    <row r="16" spans="1:22" s="38" customFormat="1" ht="20.25" customHeight="1" x14ac:dyDescent="0.25">
      <c r="A16" s="90" t="s">
        <v>82</v>
      </c>
      <c r="B16" s="16">
        <f>29*(1-(113881133.08/1895943907.79))</f>
        <v>27.258095692730905</v>
      </c>
      <c r="C16" s="13">
        <v>0.5</v>
      </c>
      <c r="D16" s="16">
        <f>(11786024.75-4519935.99)*100/4519935.99</f>
        <v>160.75645265941034</v>
      </c>
      <c r="E16" s="13">
        <v>0</v>
      </c>
      <c r="F16" s="16">
        <f>107469026.38/113881133.08*100</f>
        <v>94.369474094101619</v>
      </c>
      <c r="G16" s="13">
        <v>0.7</v>
      </c>
      <c r="H16" s="16">
        <f>100*(478.67/546.11)</f>
        <v>87.650839574444703</v>
      </c>
      <c r="I16" s="13">
        <v>1</v>
      </c>
      <c r="J16" s="13">
        <v>0</v>
      </c>
      <c r="K16" s="13">
        <v>1</v>
      </c>
      <c r="L16" s="83" t="s">
        <v>69</v>
      </c>
      <c r="M16" s="84">
        <v>1</v>
      </c>
      <c r="N16" s="85">
        <v>0</v>
      </c>
      <c r="O16" s="13">
        <v>1</v>
      </c>
      <c r="P16" s="86">
        <v>0</v>
      </c>
      <c r="Q16" s="86">
        <v>1</v>
      </c>
      <c r="R16" s="7">
        <v>0</v>
      </c>
      <c r="S16" s="7">
        <v>1</v>
      </c>
      <c r="T16" s="87">
        <f t="shared" si="0"/>
        <v>7.2</v>
      </c>
      <c r="U16" s="87">
        <v>0.7</v>
      </c>
      <c r="V16" s="38" t="s">
        <v>80</v>
      </c>
    </row>
    <row r="17" spans="1:22" s="38" customFormat="1" ht="20.25" customHeight="1" x14ac:dyDescent="0.25">
      <c r="A17" s="91" t="s">
        <v>11</v>
      </c>
      <c r="B17" s="16">
        <f>23*(1-(80651160.54/189593907.79))</f>
        <v>13.216053279124194</v>
      </c>
      <c r="C17" s="13">
        <v>0.7</v>
      </c>
      <c r="D17" s="16">
        <f>(11701560.99-5610218.27)*100/5610218.27</f>
        <v>108.57585974101507</v>
      </c>
      <c r="E17" s="13">
        <v>1</v>
      </c>
      <c r="F17" s="16">
        <f>77884475.31/80651160.54*100</f>
        <v>96.569565507209504</v>
      </c>
      <c r="G17" s="13">
        <v>1</v>
      </c>
      <c r="H17" s="16">
        <f>100*(2330.27/1290.55)</f>
        <v>180.56410057727325</v>
      </c>
      <c r="I17" s="13">
        <v>0</v>
      </c>
      <c r="J17" s="13">
        <v>0</v>
      </c>
      <c r="K17" s="13">
        <v>1</v>
      </c>
      <c r="L17" s="83" t="s">
        <v>69</v>
      </c>
      <c r="M17" s="84">
        <v>1</v>
      </c>
      <c r="N17" s="85">
        <v>0</v>
      </c>
      <c r="O17" s="13">
        <v>1</v>
      </c>
      <c r="P17" s="13">
        <v>0</v>
      </c>
      <c r="Q17" s="13">
        <v>1</v>
      </c>
      <c r="R17" s="86">
        <v>1</v>
      </c>
      <c r="S17" s="86">
        <v>0</v>
      </c>
      <c r="T17" s="87">
        <f t="shared" si="0"/>
        <v>6.7</v>
      </c>
      <c r="U17" s="88">
        <v>0.73</v>
      </c>
      <c r="V17" s="38" t="s">
        <v>80</v>
      </c>
    </row>
    <row r="18" spans="1:22" s="38" customFormat="1" ht="20.25" customHeight="1" x14ac:dyDescent="0.25">
      <c r="A18" s="91" t="s">
        <v>10</v>
      </c>
      <c r="B18" s="16">
        <f>20*(1-(171788807.2/189593907.79))</f>
        <v>1.8782355190148281</v>
      </c>
      <c r="C18" s="13">
        <v>1</v>
      </c>
      <c r="D18" s="16">
        <f>(29300594.31-6973812.34)*100/6973812.34</f>
        <v>320.15174601041815</v>
      </c>
      <c r="E18" s="13">
        <v>0</v>
      </c>
      <c r="F18" s="16">
        <f>166438414.33/171788807.2*100</f>
        <v>96.885482263247255</v>
      </c>
      <c r="G18" s="13">
        <v>1</v>
      </c>
      <c r="H18" s="16">
        <f>100*(365.52/2195.55)</f>
        <v>16.648220263715242</v>
      </c>
      <c r="I18" s="13">
        <v>1</v>
      </c>
      <c r="J18" s="13">
        <v>0</v>
      </c>
      <c r="K18" s="13">
        <v>1</v>
      </c>
      <c r="L18" s="83" t="s">
        <v>69</v>
      </c>
      <c r="M18" s="84">
        <v>1</v>
      </c>
      <c r="N18" s="85">
        <v>0</v>
      </c>
      <c r="O18" s="13">
        <v>1</v>
      </c>
      <c r="P18" s="86">
        <v>0</v>
      </c>
      <c r="Q18" s="86">
        <v>1</v>
      </c>
      <c r="R18" s="7">
        <v>0</v>
      </c>
      <c r="S18" s="7">
        <v>1</v>
      </c>
      <c r="T18" s="87">
        <f t="shared" si="0"/>
        <v>8</v>
      </c>
      <c r="U18" s="88">
        <v>0.83</v>
      </c>
      <c r="V18" s="38" t="s">
        <v>80</v>
      </c>
    </row>
    <row r="19" spans="1:22" s="38" customFormat="1" ht="20.25" customHeight="1" x14ac:dyDescent="0.25">
      <c r="A19" s="91" t="s">
        <v>9</v>
      </c>
      <c r="B19" s="16">
        <f>24*(1-(125920944.61/189593907.79))</f>
        <v>8.0601277442555102</v>
      </c>
      <c r="C19" s="13">
        <v>1</v>
      </c>
      <c r="D19" s="16">
        <f>(16249730.12-4579154.08)*100/4579154.08</f>
        <v>254.86314363110489</v>
      </c>
      <c r="E19" s="13">
        <v>0</v>
      </c>
      <c r="F19" s="16">
        <f>122950616.13/125920944.61*100</f>
        <v>97.641116424912752</v>
      </c>
      <c r="G19" s="13">
        <v>1</v>
      </c>
      <c r="H19" s="16">
        <f>100*(1382.24/1194.63)</f>
        <v>115.70444405380744</v>
      </c>
      <c r="I19" s="13">
        <v>0</v>
      </c>
      <c r="J19" s="13">
        <v>0</v>
      </c>
      <c r="K19" s="13">
        <v>1</v>
      </c>
      <c r="L19" s="83" t="s">
        <v>69</v>
      </c>
      <c r="M19" s="84">
        <v>1</v>
      </c>
      <c r="N19" s="85">
        <v>0</v>
      </c>
      <c r="O19" s="13">
        <v>1</v>
      </c>
      <c r="P19" s="13">
        <v>0</v>
      </c>
      <c r="Q19" s="13">
        <v>1</v>
      </c>
      <c r="R19" s="86">
        <v>1</v>
      </c>
      <c r="S19" s="86">
        <v>0</v>
      </c>
      <c r="T19" s="87">
        <f t="shared" si="0"/>
        <v>6</v>
      </c>
      <c r="U19" s="88">
        <v>0.61</v>
      </c>
      <c r="V19" s="38" t="s">
        <v>79</v>
      </c>
    </row>
    <row r="20" spans="1:22" s="38" customFormat="1" ht="20.25" customHeight="1" x14ac:dyDescent="0.25">
      <c r="A20" s="91" t="s">
        <v>8</v>
      </c>
      <c r="B20" s="16">
        <f>22*(1-(140937324.79/189593907.79))</f>
        <v>5.6459874606606952</v>
      </c>
      <c r="C20" s="13">
        <v>1</v>
      </c>
      <c r="D20" s="16">
        <f>(12348128.76-5176930.54)*100/5176930.54</f>
        <v>138.52220277230145</v>
      </c>
      <c r="E20" s="13">
        <v>0</v>
      </c>
      <c r="F20" s="16">
        <f>133586407.2/140937324.79*100</f>
        <v>94.784264848965279</v>
      </c>
      <c r="G20" s="13">
        <v>0.7</v>
      </c>
      <c r="H20" s="16">
        <f>100*(266.25/2430.07)</f>
        <v>10.956474504849654</v>
      </c>
      <c r="I20" s="13">
        <v>1</v>
      </c>
      <c r="J20" s="13">
        <v>0</v>
      </c>
      <c r="K20" s="13">
        <v>1</v>
      </c>
      <c r="L20" s="83" t="s">
        <v>69</v>
      </c>
      <c r="M20" s="84">
        <v>1</v>
      </c>
      <c r="N20" s="85">
        <v>0</v>
      </c>
      <c r="O20" s="13">
        <v>1</v>
      </c>
      <c r="P20" s="13">
        <v>1</v>
      </c>
      <c r="Q20" s="13">
        <v>0</v>
      </c>
      <c r="R20" s="86">
        <v>1</v>
      </c>
      <c r="S20" s="86">
        <v>0</v>
      </c>
      <c r="T20" s="87">
        <f t="shared" si="0"/>
        <v>5.7</v>
      </c>
      <c r="U20" s="88">
        <v>0.67</v>
      </c>
      <c r="V20" s="38" t="s">
        <v>79</v>
      </c>
    </row>
    <row r="21" spans="1:22" s="38" customFormat="1" ht="20.25" customHeight="1" x14ac:dyDescent="0.25">
      <c r="A21" s="91" t="s">
        <v>48</v>
      </c>
      <c r="B21" s="16">
        <f>20*(1-(122732705.99/189593907.79))</f>
        <v>7.0530960176270536</v>
      </c>
      <c r="C21" s="13">
        <v>1</v>
      </c>
      <c r="D21" s="16">
        <f>(14204701.39-4003060.59)*100/4003060.59</f>
        <v>254.84602520093262</v>
      </c>
      <c r="E21" s="13">
        <v>0</v>
      </c>
      <c r="F21" s="16">
        <f>117785821.14/122732705.99*100</f>
        <v>95.969383376585</v>
      </c>
      <c r="G21" s="13">
        <v>1</v>
      </c>
      <c r="H21" s="16">
        <f>100*(1037.58/2077.57)</f>
        <v>49.941999547548335</v>
      </c>
      <c r="I21" s="13">
        <v>1</v>
      </c>
      <c r="J21" s="13">
        <v>0</v>
      </c>
      <c r="K21" s="13">
        <v>1</v>
      </c>
      <c r="L21" s="83" t="s">
        <v>69</v>
      </c>
      <c r="M21" s="84">
        <v>1</v>
      </c>
      <c r="N21" s="85">
        <v>0</v>
      </c>
      <c r="O21" s="13">
        <v>1</v>
      </c>
      <c r="P21" s="86">
        <v>0</v>
      </c>
      <c r="Q21" s="86">
        <v>1</v>
      </c>
      <c r="R21" s="7">
        <v>0</v>
      </c>
      <c r="S21" s="7">
        <v>1</v>
      </c>
      <c r="T21" s="87">
        <f t="shared" si="0"/>
        <v>8</v>
      </c>
      <c r="U21" s="88">
        <v>0.83</v>
      </c>
      <c r="V21" s="38" t="s">
        <v>80</v>
      </c>
    </row>
    <row r="22" spans="1:22" s="38" customFormat="1" ht="20.25" customHeight="1" x14ac:dyDescent="0.25">
      <c r="A22" s="91" t="s">
        <v>49</v>
      </c>
      <c r="B22" s="16">
        <f>35*(1-(168557517.43/189593907.79))</f>
        <v>3.8834246900776916</v>
      </c>
      <c r="C22" s="13">
        <v>1</v>
      </c>
      <c r="D22" s="16">
        <f>(17036013.68-7920124.24)*100/7920124.24</f>
        <v>115.09780861720421</v>
      </c>
      <c r="E22" s="13">
        <v>0</v>
      </c>
      <c r="F22" s="16">
        <f>159687660.71/168557517.43*100</f>
        <v>94.737786332381432</v>
      </c>
      <c r="G22" s="13">
        <v>0.7</v>
      </c>
      <c r="H22" s="16">
        <f>100*(2548.91/2606.56)</f>
        <v>97.788272665889139</v>
      </c>
      <c r="I22" s="13">
        <v>1</v>
      </c>
      <c r="J22" s="13">
        <v>0</v>
      </c>
      <c r="K22" s="13">
        <v>1</v>
      </c>
      <c r="L22" s="83" t="s">
        <v>69</v>
      </c>
      <c r="M22" s="84">
        <v>1</v>
      </c>
      <c r="N22" s="85">
        <v>0</v>
      </c>
      <c r="O22" s="13">
        <v>1</v>
      </c>
      <c r="P22" s="86">
        <v>0</v>
      </c>
      <c r="Q22" s="86">
        <v>1</v>
      </c>
      <c r="R22" s="7">
        <v>0</v>
      </c>
      <c r="S22" s="7">
        <v>1</v>
      </c>
      <c r="T22" s="87">
        <f t="shared" si="0"/>
        <v>7.7</v>
      </c>
      <c r="U22" s="88">
        <v>0.78</v>
      </c>
      <c r="V22" s="38" t="s">
        <v>80</v>
      </c>
    </row>
    <row r="23" spans="1:22" s="38" customFormat="1" ht="20.25" customHeight="1" x14ac:dyDescent="0.25">
      <c r="A23" s="91" t="s">
        <v>50</v>
      </c>
      <c r="B23" s="16">
        <f>40*(1-(150867027.85/189593907.79))</f>
        <v>8.1704903688983634</v>
      </c>
      <c r="C23" s="13">
        <v>1</v>
      </c>
      <c r="D23" s="16">
        <f>(14752155-7008463.52)*100/7008463.52</f>
        <v>110.49057268974698</v>
      </c>
      <c r="E23" s="13">
        <v>0</v>
      </c>
      <c r="F23" s="16">
        <f>143817417.28/150867027.85*100</f>
        <v>95.3272688734817</v>
      </c>
      <c r="G23" s="13">
        <v>1</v>
      </c>
      <c r="H23" s="16">
        <f>100*(437.02/1651.24)</f>
        <v>26.466170877643471</v>
      </c>
      <c r="I23" s="13">
        <v>1</v>
      </c>
      <c r="J23" s="13">
        <v>0</v>
      </c>
      <c r="K23" s="13">
        <v>1</v>
      </c>
      <c r="L23" s="83" t="s">
        <v>69</v>
      </c>
      <c r="M23" s="84">
        <v>1</v>
      </c>
      <c r="N23" s="85">
        <v>0</v>
      </c>
      <c r="O23" s="13">
        <v>1</v>
      </c>
      <c r="P23" s="86">
        <v>0</v>
      </c>
      <c r="Q23" s="86">
        <v>1</v>
      </c>
      <c r="R23" s="7">
        <v>0</v>
      </c>
      <c r="S23" s="7">
        <v>1</v>
      </c>
      <c r="T23" s="87">
        <f t="shared" si="0"/>
        <v>8</v>
      </c>
      <c r="U23" s="88">
        <v>0.83</v>
      </c>
      <c r="V23" s="38" t="s">
        <v>80</v>
      </c>
    </row>
    <row r="24" spans="1:22" s="38" customFormat="1" ht="20.25" customHeight="1" x14ac:dyDescent="0.25">
      <c r="A24" s="91" t="s">
        <v>83</v>
      </c>
      <c r="B24" s="16">
        <f>34*(1-(177144358.72/189593907.79))</f>
        <v>2.2325858109789189</v>
      </c>
      <c r="C24" s="13">
        <v>1</v>
      </c>
      <c r="D24" s="16">
        <f>(6623449.52-14774452.13)*100/14774452.13</f>
        <v>-55.169576091753193</v>
      </c>
      <c r="E24" s="13">
        <v>0</v>
      </c>
      <c r="F24" s="16">
        <f>165821744.23/177144358.72*100</f>
        <v>93.608255678129211</v>
      </c>
      <c r="G24" s="13">
        <v>0.7</v>
      </c>
      <c r="H24" s="16">
        <f>100*(540.78/1667.35)</f>
        <v>32.433502264071727</v>
      </c>
      <c r="I24" s="13">
        <v>1</v>
      </c>
      <c r="J24" s="13">
        <v>0</v>
      </c>
      <c r="K24" s="13">
        <v>1</v>
      </c>
      <c r="L24" s="83" t="s">
        <v>69</v>
      </c>
      <c r="M24" s="84">
        <v>1</v>
      </c>
      <c r="N24" s="85">
        <v>0</v>
      </c>
      <c r="O24" s="13">
        <v>1</v>
      </c>
      <c r="P24" s="86">
        <v>0</v>
      </c>
      <c r="Q24" s="86">
        <v>1</v>
      </c>
      <c r="R24" s="7">
        <v>0</v>
      </c>
      <c r="S24" s="7">
        <v>1</v>
      </c>
      <c r="T24" s="87">
        <f t="shared" si="0"/>
        <v>7.7</v>
      </c>
      <c r="U24" s="88">
        <v>0.78</v>
      </c>
      <c r="V24" s="38" t="s">
        <v>80</v>
      </c>
    </row>
    <row r="25" spans="1:22" s="38" customFormat="1" ht="20.25" customHeight="1" x14ac:dyDescent="0.25">
      <c r="A25" s="91" t="s">
        <v>84</v>
      </c>
      <c r="B25" s="16">
        <f>24*(1-(180279369.56/189593907.79))</f>
        <v>1.1790933586727332</v>
      </c>
      <c r="C25" s="13">
        <v>1</v>
      </c>
      <c r="D25" s="16">
        <f>(11566598.16-7686751.89)*100/7686751.89</f>
        <v>50.474456903538758</v>
      </c>
      <c r="E25" s="13">
        <v>0</v>
      </c>
      <c r="F25" s="16">
        <f>170837604.49/180279369.56*100</f>
        <v>94.762703523401427</v>
      </c>
      <c r="G25" s="13">
        <v>0.7</v>
      </c>
      <c r="H25" s="16">
        <f>100*(422.81/1609.92)</f>
        <v>26.262795666865436</v>
      </c>
      <c r="I25" s="13">
        <v>1</v>
      </c>
      <c r="J25" s="13">
        <v>0</v>
      </c>
      <c r="K25" s="13">
        <v>1</v>
      </c>
      <c r="L25" s="83" t="s">
        <v>69</v>
      </c>
      <c r="M25" s="84">
        <v>1</v>
      </c>
      <c r="N25" s="85">
        <v>0</v>
      </c>
      <c r="O25" s="13">
        <v>1</v>
      </c>
      <c r="P25" s="86">
        <v>0</v>
      </c>
      <c r="Q25" s="86">
        <v>1</v>
      </c>
      <c r="R25" s="7">
        <v>0</v>
      </c>
      <c r="S25" s="7">
        <v>1</v>
      </c>
      <c r="T25" s="87">
        <f t="shared" si="0"/>
        <v>7.7</v>
      </c>
      <c r="U25" s="88">
        <v>0.78</v>
      </c>
      <c r="V25" s="38" t="s">
        <v>80</v>
      </c>
    </row>
    <row r="26" spans="1:22" s="38" customFormat="1" ht="20.25" customHeight="1" x14ac:dyDescent="0.25">
      <c r="A26" s="91" t="s">
        <v>12</v>
      </c>
      <c r="B26" s="16">
        <f>22*(1-(150263713.88/189593907.79))</f>
        <v>4.5637767379023222</v>
      </c>
      <c r="C26" s="13">
        <v>1</v>
      </c>
      <c r="D26" s="16">
        <f>(32091428.31-20619344.92)*100/20619344.92</f>
        <v>55.637477497514972</v>
      </c>
      <c r="E26" s="13">
        <v>0</v>
      </c>
      <c r="F26" s="16">
        <f>144928281.55/150264713.88*100</f>
        <v>96.448645731783969</v>
      </c>
      <c r="G26" s="13">
        <v>1</v>
      </c>
      <c r="H26" s="16">
        <f>100*(363.08/1567.8)</f>
        <v>23.158566143640773</v>
      </c>
      <c r="I26" s="13">
        <v>1</v>
      </c>
      <c r="J26" s="13">
        <v>0</v>
      </c>
      <c r="K26" s="13">
        <v>1</v>
      </c>
      <c r="L26" s="83" t="s">
        <v>69</v>
      </c>
      <c r="M26" s="84">
        <v>1</v>
      </c>
      <c r="N26" s="85">
        <v>0</v>
      </c>
      <c r="O26" s="13">
        <v>1</v>
      </c>
      <c r="P26" s="86">
        <v>0</v>
      </c>
      <c r="Q26" s="86">
        <v>1</v>
      </c>
      <c r="R26" s="7">
        <v>0</v>
      </c>
      <c r="S26" s="7">
        <v>1</v>
      </c>
      <c r="T26" s="87">
        <f t="shared" si="0"/>
        <v>8</v>
      </c>
      <c r="U26" s="88">
        <v>0.83</v>
      </c>
      <c r="V26" s="38" t="s">
        <v>80</v>
      </c>
    </row>
    <row r="27" spans="1:22" s="38" customFormat="1" ht="20.25" customHeight="1" x14ac:dyDescent="0.25">
      <c r="A27" s="91" t="s">
        <v>85</v>
      </c>
      <c r="B27" s="16">
        <f>27*(1-(60312018.15/189593907.79))</f>
        <v>18.410987256754616</v>
      </c>
      <c r="C27" s="13">
        <v>0.7</v>
      </c>
      <c r="D27" s="39">
        <f>(6970531.11-2169158.74)*100/2169158.74</f>
        <v>221.347210854656</v>
      </c>
      <c r="E27" s="37">
        <v>0</v>
      </c>
      <c r="F27" s="16">
        <f>53563308.51/60312018.15*100</f>
        <v>88.810340215750188</v>
      </c>
      <c r="G27" s="13">
        <v>0.7</v>
      </c>
      <c r="H27" s="16">
        <f>100*(1732.48/326.79)</f>
        <v>530.15086140946778</v>
      </c>
      <c r="I27" s="13">
        <v>0</v>
      </c>
      <c r="J27" s="13">
        <v>0</v>
      </c>
      <c r="K27" s="13">
        <v>1</v>
      </c>
      <c r="L27" s="83" t="s">
        <v>69</v>
      </c>
      <c r="M27" s="84">
        <v>1</v>
      </c>
      <c r="N27" s="85">
        <v>0</v>
      </c>
      <c r="O27" s="13">
        <v>1</v>
      </c>
      <c r="P27" s="86">
        <v>0</v>
      </c>
      <c r="Q27" s="86">
        <v>1</v>
      </c>
      <c r="R27" s="7">
        <v>0</v>
      </c>
      <c r="S27" s="7">
        <v>1</v>
      </c>
      <c r="T27" s="87">
        <f t="shared" si="0"/>
        <v>6.4</v>
      </c>
      <c r="U27" s="88">
        <v>0.56999999999999995</v>
      </c>
      <c r="V27" s="38" t="s">
        <v>79</v>
      </c>
    </row>
    <row r="28" spans="1:22" s="38" customFormat="1" ht="20.25" customHeight="1" x14ac:dyDescent="0.25">
      <c r="A28" s="91" t="s">
        <v>86</v>
      </c>
      <c r="B28" s="16">
        <f>15*(1-(18500591.31/189593907.79))</f>
        <v>13.536298592688025</v>
      </c>
      <c r="C28" s="13">
        <v>0.7</v>
      </c>
      <c r="D28" s="40">
        <f>(4202721.92-4500286.52)*100/4500286.52</f>
        <v>-6.6121256652787448</v>
      </c>
      <c r="E28" s="37">
        <v>0</v>
      </c>
      <c r="F28" s="16">
        <f>18038556.47/18500591.31*100</f>
        <v>97.502594202217423</v>
      </c>
      <c r="G28" s="13">
        <v>1</v>
      </c>
      <c r="H28" s="16">
        <f>100*(261.46/168.15)</f>
        <v>155.49212013083556</v>
      </c>
      <c r="I28" s="13">
        <v>0</v>
      </c>
      <c r="J28" s="13">
        <v>0</v>
      </c>
      <c r="K28" s="13">
        <v>1</v>
      </c>
      <c r="L28" s="83" t="s">
        <v>69</v>
      </c>
      <c r="M28" s="84">
        <v>1</v>
      </c>
      <c r="N28" s="85">
        <v>0</v>
      </c>
      <c r="O28" s="13">
        <v>1</v>
      </c>
      <c r="P28" s="13">
        <v>0</v>
      </c>
      <c r="Q28" s="13">
        <v>1</v>
      </c>
      <c r="R28" s="86">
        <v>1</v>
      </c>
      <c r="S28" s="86">
        <v>0</v>
      </c>
      <c r="T28" s="87">
        <f t="shared" si="0"/>
        <v>5.7</v>
      </c>
      <c r="U28" s="88">
        <v>0.56000000000000005</v>
      </c>
      <c r="V28" s="38" t="s">
        <v>79</v>
      </c>
    </row>
    <row r="29" spans="1:22" s="38" customFormat="1" ht="20.25" customHeight="1" x14ac:dyDescent="0.25">
      <c r="A29" s="91" t="s">
        <v>7</v>
      </c>
      <c r="B29" s="16">
        <f>24*(1-(46360287.31/189593907.79))</f>
        <v>18.13142063260597</v>
      </c>
      <c r="C29" s="13">
        <v>0.7</v>
      </c>
      <c r="D29" s="16">
        <f>(13834466.13-8674844.16)*100/8674844.16</f>
        <v>59.47797879518334</v>
      </c>
      <c r="E29" s="37">
        <v>0</v>
      </c>
      <c r="F29" s="16">
        <f>39896798.6/46360287.31*100</f>
        <v>86.058134914522384</v>
      </c>
      <c r="G29" s="13">
        <v>0.7</v>
      </c>
      <c r="H29" s="16">
        <f>100*(52.87/276.2)</f>
        <v>19.141926140477914</v>
      </c>
      <c r="I29" s="13">
        <v>1</v>
      </c>
      <c r="J29" s="13">
        <v>0</v>
      </c>
      <c r="K29" s="13">
        <v>1</v>
      </c>
      <c r="L29" s="83" t="s">
        <v>69</v>
      </c>
      <c r="M29" s="84">
        <v>1</v>
      </c>
      <c r="N29" s="85">
        <v>0</v>
      </c>
      <c r="O29" s="13">
        <v>1</v>
      </c>
      <c r="P29" s="13">
        <v>0</v>
      </c>
      <c r="Q29" s="13">
        <v>1</v>
      </c>
      <c r="R29" s="7">
        <v>1</v>
      </c>
      <c r="S29" s="7">
        <v>0</v>
      </c>
      <c r="T29" s="87">
        <f t="shared" si="0"/>
        <v>6.4</v>
      </c>
      <c r="U29" s="88">
        <v>0.68</v>
      </c>
      <c r="V29" s="38" t="s">
        <v>79</v>
      </c>
    </row>
    <row r="30" spans="1:22" s="38" customFormat="1" ht="20.25" customHeight="1" x14ac:dyDescent="0.25">
      <c r="A30" s="91" t="s">
        <v>6</v>
      </c>
      <c r="B30" s="16">
        <f>10*(1-(27749773.72/189593907.79))</f>
        <v>8.5363573100283112</v>
      </c>
      <c r="C30" s="13">
        <v>1</v>
      </c>
      <c r="D30" s="16">
        <f>(9558713.12-4463357.27)*100/4463357.27</f>
        <v>114.15971300903725</v>
      </c>
      <c r="E30" s="37">
        <v>0</v>
      </c>
      <c r="F30" s="16">
        <f>23081854.92/27749773.72*100</f>
        <v>83.178533824815645</v>
      </c>
      <c r="G30" s="13">
        <v>0.3</v>
      </c>
      <c r="H30" s="16">
        <f>100*(392.04/393.78)</f>
        <v>99.558128904464439</v>
      </c>
      <c r="I30" s="13">
        <v>1</v>
      </c>
      <c r="J30" s="13">
        <v>0</v>
      </c>
      <c r="K30" s="13">
        <v>1</v>
      </c>
      <c r="L30" s="83" t="s">
        <v>69</v>
      </c>
      <c r="M30" s="84">
        <v>1</v>
      </c>
      <c r="N30" s="85">
        <v>0</v>
      </c>
      <c r="O30" s="13">
        <v>1</v>
      </c>
      <c r="P30" s="86">
        <v>0</v>
      </c>
      <c r="Q30" s="86">
        <v>1</v>
      </c>
      <c r="R30" s="7">
        <v>0</v>
      </c>
      <c r="S30" s="7">
        <v>1</v>
      </c>
      <c r="T30" s="87">
        <f t="shared" si="0"/>
        <v>7.3</v>
      </c>
      <c r="U30" s="88">
        <v>0.72</v>
      </c>
      <c r="V30" s="38" t="s">
        <v>80</v>
      </c>
    </row>
    <row r="31" spans="1:22" s="38" customFormat="1" ht="20.25" customHeight="1" x14ac:dyDescent="0.25">
      <c r="A31" s="91" t="s">
        <v>87</v>
      </c>
      <c r="B31" s="16">
        <f>21*(1-(26611926.9/189593907.79))</f>
        <v>18.052381738346782</v>
      </c>
      <c r="C31" s="13">
        <v>0.7</v>
      </c>
      <c r="D31" s="16">
        <f>(7915734.11-5869678.77)*100/5869678.77</f>
        <v>34.858046243644793</v>
      </c>
      <c r="E31" s="37">
        <v>0.5</v>
      </c>
      <c r="F31" s="16">
        <f>26030608.43/26611926.9*100</f>
        <v>97.81557167136215</v>
      </c>
      <c r="G31" s="13">
        <v>1</v>
      </c>
      <c r="H31" s="16">
        <f>100*(269/282.39)</f>
        <v>95.258330677431928</v>
      </c>
      <c r="I31" s="13">
        <v>1</v>
      </c>
      <c r="J31" s="13">
        <v>0</v>
      </c>
      <c r="K31" s="13">
        <v>1</v>
      </c>
      <c r="L31" s="83" t="s">
        <v>69</v>
      </c>
      <c r="M31" s="84">
        <v>1</v>
      </c>
      <c r="N31" s="85">
        <v>0</v>
      </c>
      <c r="O31" s="13">
        <v>1</v>
      </c>
      <c r="P31" s="13">
        <v>1</v>
      </c>
      <c r="Q31" s="13">
        <v>0</v>
      </c>
      <c r="R31" s="86">
        <v>1</v>
      </c>
      <c r="S31" s="86">
        <v>0</v>
      </c>
      <c r="T31" s="87">
        <f t="shared" si="0"/>
        <v>6.2</v>
      </c>
      <c r="U31" s="88">
        <v>0.76</v>
      </c>
      <c r="V31" s="38" t="s">
        <v>80</v>
      </c>
    </row>
    <row r="32" spans="1:22" s="38" customFormat="1" ht="19.5" customHeight="1" x14ac:dyDescent="0.25">
      <c r="A32" s="91" t="s">
        <v>88</v>
      </c>
      <c r="B32" s="16">
        <f>7*(1-(10788073.69/189593907.79))</f>
        <v>6.6016933417837222</v>
      </c>
      <c r="C32" s="13">
        <v>1</v>
      </c>
      <c r="D32" s="16">
        <f>(6985024.95-89330.89)*100/89330.89</f>
        <v>7719.2716427654532</v>
      </c>
      <c r="E32" s="37">
        <v>0</v>
      </c>
      <c r="F32" s="16">
        <f>7274297.61/10788073.69*100</f>
        <v>67.429068608818525</v>
      </c>
      <c r="G32" s="13">
        <v>0</v>
      </c>
      <c r="H32" s="16">
        <f>100*(2.93/65.37)</f>
        <v>4.4821783692825452</v>
      </c>
      <c r="I32" s="13">
        <v>1</v>
      </c>
      <c r="J32" s="13">
        <v>0</v>
      </c>
      <c r="K32" s="13">
        <v>1</v>
      </c>
      <c r="L32" s="83" t="s">
        <v>69</v>
      </c>
      <c r="M32" s="84">
        <v>1</v>
      </c>
      <c r="N32" s="85">
        <v>0</v>
      </c>
      <c r="O32" s="13">
        <v>1</v>
      </c>
      <c r="P32" s="13">
        <v>0</v>
      </c>
      <c r="Q32" s="13">
        <v>1</v>
      </c>
      <c r="R32" s="86">
        <v>0</v>
      </c>
      <c r="S32" s="86">
        <v>1</v>
      </c>
      <c r="T32" s="87">
        <f t="shared" si="0"/>
        <v>7</v>
      </c>
      <c r="U32" s="87">
        <v>0.67</v>
      </c>
      <c r="V32" s="38" t="s">
        <v>79</v>
      </c>
    </row>
    <row r="33" spans="1:22" s="38" customFormat="1" ht="19.5" customHeight="1" x14ac:dyDescent="0.25">
      <c r="A33" s="91" t="s">
        <v>89</v>
      </c>
      <c r="B33" s="16">
        <f>13*(1-(96753465.4/189593907.79))</f>
        <v>6.3658466938021423</v>
      </c>
      <c r="C33" s="13">
        <v>1</v>
      </c>
      <c r="D33" s="16">
        <f>(31431794.85-19543361.25)*100/19543361.25</f>
        <v>60.831058935678236</v>
      </c>
      <c r="E33" s="37">
        <v>0</v>
      </c>
      <c r="F33" s="16">
        <f>90061878.61/96753465.4*100</f>
        <v>93.083878947037689</v>
      </c>
      <c r="G33" s="13">
        <v>0.7</v>
      </c>
      <c r="H33" s="16">
        <f>100*(382.73/1035.7)</f>
        <v>36.953751086221878</v>
      </c>
      <c r="I33" s="13">
        <v>1</v>
      </c>
      <c r="J33" s="13">
        <v>0</v>
      </c>
      <c r="K33" s="13">
        <v>1</v>
      </c>
      <c r="L33" s="83" t="s">
        <v>69</v>
      </c>
      <c r="M33" s="84">
        <v>1</v>
      </c>
      <c r="N33" s="85">
        <v>0</v>
      </c>
      <c r="O33" s="13">
        <v>1</v>
      </c>
      <c r="P33" s="86">
        <v>0</v>
      </c>
      <c r="Q33" s="86">
        <v>1</v>
      </c>
      <c r="R33" s="7">
        <v>0</v>
      </c>
      <c r="S33" s="7">
        <v>1</v>
      </c>
      <c r="T33" s="87">
        <f t="shared" si="0"/>
        <v>7.7</v>
      </c>
      <c r="U33" s="88">
        <v>0.78</v>
      </c>
      <c r="V33" s="38" t="s">
        <v>80</v>
      </c>
    </row>
    <row r="34" spans="1:22" s="38" customFormat="1" ht="20.25" customHeight="1" x14ac:dyDescent="0.25">
      <c r="A34" s="91" t="s">
        <v>14</v>
      </c>
      <c r="B34" s="16">
        <f>20*(1-(35201410.87/189593907.79))</f>
        <v>16.286651688303174</v>
      </c>
      <c r="C34" s="13">
        <v>0.7</v>
      </c>
      <c r="D34" s="16">
        <f>(14120352.129-6712499.4)*100/6712449.4</f>
        <v>110.35990422512532</v>
      </c>
      <c r="E34" s="37">
        <v>0</v>
      </c>
      <c r="F34" s="16">
        <f>34300104.48/35201410.87*100</f>
        <v>97.43957310879226</v>
      </c>
      <c r="G34" s="13">
        <v>1</v>
      </c>
      <c r="H34" s="16">
        <f>100*(90.06/82.57)</f>
        <v>109.07109119534941</v>
      </c>
      <c r="I34" s="13">
        <v>0</v>
      </c>
      <c r="J34" s="13">
        <v>0</v>
      </c>
      <c r="K34" s="13">
        <v>1</v>
      </c>
      <c r="L34" s="83" t="s">
        <v>69</v>
      </c>
      <c r="M34" s="84">
        <v>1</v>
      </c>
      <c r="N34" s="85">
        <v>0</v>
      </c>
      <c r="O34" s="13">
        <v>1</v>
      </c>
      <c r="P34" s="86">
        <v>0</v>
      </c>
      <c r="Q34" s="86">
        <v>1</v>
      </c>
      <c r="R34" s="7">
        <v>0</v>
      </c>
      <c r="S34" s="7">
        <v>1</v>
      </c>
      <c r="T34" s="87">
        <f t="shared" si="0"/>
        <v>6.7</v>
      </c>
      <c r="U34" s="88">
        <v>0.62</v>
      </c>
      <c r="V34" s="38" t="s">
        <v>79</v>
      </c>
    </row>
    <row r="35" spans="1:22" s="45" customFormat="1" x14ac:dyDescent="0.25">
      <c r="A35" s="48"/>
    </row>
  </sheetData>
  <mergeCells count="15">
    <mergeCell ref="B4:K4"/>
    <mergeCell ref="L4:M4"/>
    <mergeCell ref="N4:O4"/>
    <mergeCell ref="P4:S4"/>
    <mergeCell ref="A2:U2"/>
    <mergeCell ref="T4:U4"/>
    <mergeCell ref="B5:C5"/>
    <mergeCell ref="D5:E5"/>
    <mergeCell ref="F5:G5"/>
    <mergeCell ref="H5:I5"/>
    <mergeCell ref="P5:Q5"/>
    <mergeCell ref="R5:S5"/>
    <mergeCell ref="L5:M5"/>
    <mergeCell ref="N5:O5"/>
    <mergeCell ref="J5:K5"/>
  </mergeCells>
  <pageMargins left="0.11811023622047245" right="0.11811023622047245" top="0.15748031496062992" bottom="0.15748031496062992" header="0.31496062992125984" footer="0.31496062992125984"/>
  <pageSetup paperSize="9" scale="58" fitToWidth="0" orientation="landscape" r:id="rId1"/>
  <colBreaks count="1" manualBreakCount="1">
    <brk id="13" max="3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0"/>
  <sheetViews>
    <sheetView view="pageBreakPreview" zoomScaleNormal="100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0" sqref="B10"/>
    </sheetView>
  </sheetViews>
  <sheetFormatPr defaultRowHeight="15.75" x14ac:dyDescent="0.25"/>
  <cols>
    <col min="1" max="1" width="9.140625" style="62"/>
    <col min="2" max="2" width="79.28515625" style="62" customWidth="1"/>
    <col min="3" max="3" width="8.85546875" style="62" customWidth="1"/>
    <col min="4" max="4" width="16" style="62" customWidth="1"/>
    <col min="5" max="5" width="16.42578125" style="62" customWidth="1"/>
    <col min="6" max="6" width="17" style="62" customWidth="1"/>
    <col min="7" max="7" width="18.140625" style="62" customWidth="1"/>
    <col min="8" max="8" width="17.7109375" style="62" customWidth="1"/>
    <col min="9" max="9" width="16.42578125" style="62" customWidth="1"/>
    <col min="10" max="10" width="16.7109375" style="62" customWidth="1"/>
    <col min="11" max="11" width="15.85546875" style="62" customWidth="1"/>
    <col min="12" max="12" width="13.85546875" style="62" customWidth="1"/>
    <col min="13" max="13" width="15.140625" style="62" customWidth="1"/>
    <col min="14" max="14" width="14.140625" style="62" customWidth="1"/>
    <col min="15" max="15" width="17.28515625" style="62" customWidth="1"/>
    <col min="16" max="16" width="14.140625" style="62" customWidth="1"/>
    <col min="17" max="17" width="17.28515625" style="62" customWidth="1"/>
    <col min="18" max="18" width="14.140625" style="62" customWidth="1"/>
    <col min="19" max="19" width="17.28515625" style="62" customWidth="1"/>
    <col min="20" max="20" width="14.140625" style="62" customWidth="1"/>
    <col min="21" max="21" width="17.28515625" style="62" customWidth="1"/>
    <col min="22" max="22" width="14.140625" style="62" customWidth="1"/>
    <col min="23" max="23" width="17.28515625" style="62" customWidth="1"/>
    <col min="24" max="24" width="14.140625" style="62" customWidth="1"/>
    <col min="25" max="25" width="17.28515625" style="62" customWidth="1"/>
    <col min="26" max="26" width="14.140625" style="62" customWidth="1"/>
    <col min="27" max="27" width="17.28515625" style="62" customWidth="1"/>
    <col min="28" max="28" width="14.140625" style="62" customWidth="1"/>
    <col min="29" max="29" width="17.28515625" style="62" customWidth="1"/>
    <col min="30" max="30" width="14.140625" style="62" customWidth="1"/>
    <col min="31" max="31" width="17.28515625" style="62" customWidth="1"/>
    <col min="32" max="32" width="14.140625" style="62" customWidth="1"/>
    <col min="33" max="33" width="17.28515625" style="62" customWidth="1"/>
    <col min="34" max="34" width="14.140625" style="62" customWidth="1"/>
    <col min="35" max="35" width="17.28515625" style="62" customWidth="1"/>
    <col min="36" max="36" width="14.140625" style="62" customWidth="1"/>
    <col min="37" max="37" width="17.28515625" style="62" customWidth="1"/>
    <col min="38" max="38" width="14.140625" style="62" customWidth="1"/>
    <col min="39" max="39" width="17.28515625" style="62" customWidth="1"/>
    <col min="40" max="40" width="14.140625" style="62" customWidth="1"/>
    <col min="41" max="41" width="17.28515625" style="62" customWidth="1"/>
    <col min="42" max="42" width="14.140625" style="62" customWidth="1"/>
    <col min="43" max="43" width="17.28515625" style="62" customWidth="1"/>
    <col min="44" max="44" width="14.140625" style="62" customWidth="1"/>
    <col min="45" max="45" width="17.28515625" style="62" customWidth="1"/>
    <col min="46" max="46" width="14.140625" style="62" customWidth="1"/>
    <col min="47" max="47" width="17.28515625" style="62" customWidth="1"/>
    <col min="48" max="48" width="14.140625" style="62" customWidth="1"/>
    <col min="49" max="49" width="17.28515625" style="62" customWidth="1"/>
    <col min="50" max="50" width="14.140625" style="62" customWidth="1"/>
    <col min="51" max="51" width="17.28515625" style="62" customWidth="1"/>
    <col min="52" max="52" width="14.140625" style="62" customWidth="1"/>
    <col min="53" max="53" width="17.28515625" style="62" customWidth="1"/>
    <col min="54" max="54" width="14.140625" style="62" customWidth="1"/>
    <col min="55" max="55" width="17.28515625" style="62" customWidth="1"/>
    <col min="56" max="56" width="14.140625" style="62" customWidth="1"/>
    <col min="57" max="57" width="17.28515625" style="62" customWidth="1"/>
    <col min="58" max="16384" width="9.140625" style="62"/>
  </cols>
  <sheetData>
    <row r="2" spans="1:57" ht="18.75" x14ac:dyDescent="0.25">
      <c r="A2" s="121" t="s">
        <v>78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57" ht="18.75" x14ac:dyDescent="0.25">
      <c r="A3" s="121" t="s">
        <v>51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57" ht="18.75" x14ac:dyDescent="0.25">
      <c r="A4" s="121" t="s">
        <v>52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57" ht="18.75" x14ac:dyDescent="0.2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57" x14ac:dyDescent="0.2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57" s="21" customFormat="1" ht="51.75" customHeight="1" x14ac:dyDescent="0.25">
      <c r="A7" s="122"/>
      <c r="B7" s="116" t="s">
        <v>53</v>
      </c>
      <c r="C7" s="124" t="s">
        <v>54</v>
      </c>
      <c r="D7" s="124" t="s">
        <v>70</v>
      </c>
      <c r="E7" s="124" t="s">
        <v>71</v>
      </c>
      <c r="F7" s="129" t="s">
        <v>1</v>
      </c>
      <c r="G7" s="130"/>
      <c r="H7" s="112" t="s">
        <v>0</v>
      </c>
      <c r="I7" s="113"/>
      <c r="J7" s="112" t="s">
        <v>2</v>
      </c>
      <c r="K7" s="113"/>
      <c r="L7" s="112" t="s">
        <v>3</v>
      </c>
      <c r="M7" s="113"/>
      <c r="N7" s="112" t="s">
        <v>4</v>
      </c>
      <c r="O7" s="113"/>
      <c r="P7" s="112" t="s">
        <v>81</v>
      </c>
      <c r="Q7" s="113"/>
      <c r="R7" s="112" t="s">
        <v>5</v>
      </c>
      <c r="S7" s="113"/>
      <c r="T7" s="112" t="s">
        <v>82</v>
      </c>
      <c r="U7" s="113"/>
      <c r="V7" s="112" t="s">
        <v>11</v>
      </c>
      <c r="W7" s="113"/>
      <c r="X7" s="112" t="s">
        <v>10</v>
      </c>
      <c r="Y7" s="113"/>
      <c r="Z7" s="112" t="s">
        <v>9</v>
      </c>
      <c r="AA7" s="113"/>
      <c r="AB7" s="112" t="s">
        <v>48</v>
      </c>
      <c r="AC7" s="113"/>
      <c r="AD7" s="112" t="s">
        <v>90</v>
      </c>
      <c r="AE7" s="113"/>
      <c r="AF7" s="112" t="s">
        <v>8</v>
      </c>
      <c r="AG7" s="113"/>
      <c r="AH7" s="112" t="s">
        <v>91</v>
      </c>
      <c r="AI7" s="113"/>
      <c r="AJ7" s="112" t="s">
        <v>49</v>
      </c>
      <c r="AK7" s="113"/>
      <c r="AL7" s="112" t="s">
        <v>50</v>
      </c>
      <c r="AM7" s="113"/>
      <c r="AN7" s="112" t="s">
        <v>12</v>
      </c>
      <c r="AO7" s="113"/>
      <c r="AP7" s="112" t="s">
        <v>92</v>
      </c>
      <c r="AQ7" s="113"/>
      <c r="AR7" s="112" t="s">
        <v>86</v>
      </c>
      <c r="AS7" s="113"/>
      <c r="AT7" s="112" t="s">
        <v>7</v>
      </c>
      <c r="AU7" s="113"/>
      <c r="AV7" s="112" t="s">
        <v>6</v>
      </c>
      <c r="AW7" s="113"/>
      <c r="AX7" s="112" t="s">
        <v>87</v>
      </c>
      <c r="AY7" s="113"/>
      <c r="AZ7" s="112" t="s">
        <v>88</v>
      </c>
      <c r="BA7" s="113"/>
      <c r="BB7" s="112" t="s">
        <v>89</v>
      </c>
      <c r="BC7" s="113"/>
      <c r="BD7" s="112" t="s">
        <v>14</v>
      </c>
      <c r="BE7" s="113"/>
    </row>
    <row r="8" spans="1:57" s="21" customFormat="1" ht="65.25" customHeight="1" x14ac:dyDescent="0.25">
      <c r="A8" s="123"/>
      <c r="B8" s="118"/>
      <c r="C8" s="125"/>
      <c r="D8" s="125"/>
      <c r="E8" s="125"/>
      <c r="F8" s="22" t="s">
        <v>55</v>
      </c>
      <c r="G8" s="23" t="s">
        <v>15</v>
      </c>
      <c r="H8" s="22" t="s">
        <v>55</v>
      </c>
      <c r="I8" s="23" t="s">
        <v>15</v>
      </c>
      <c r="J8" s="22" t="s">
        <v>55</v>
      </c>
      <c r="K8" s="23" t="s">
        <v>15</v>
      </c>
      <c r="L8" s="22" t="s">
        <v>55</v>
      </c>
      <c r="M8" s="23" t="s">
        <v>15</v>
      </c>
      <c r="N8" s="22" t="s">
        <v>55</v>
      </c>
      <c r="O8" s="23" t="s">
        <v>15</v>
      </c>
      <c r="P8" s="22" t="s">
        <v>55</v>
      </c>
      <c r="Q8" s="23" t="s">
        <v>15</v>
      </c>
      <c r="R8" s="22" t="s">
        <v>55</v>
      </c>
      <c r="S8" s="23" t="s">
        <v>15</v>
      </c>
      <c r="T8" s="22" t="s">
        <v>55</v>
      </c>
      <c r="U8" s="23" t="s">
        <v>15</v>
      </c>
      <c r="V8" s="22" t="s">
        <v>55</v>
      </c>
      <c r="W8" s="23" t="s">
        <v>15</v>
      </c>
      <c r="X8" s="22" t="s">
        <v>55</v>
      </c>
      <c r="Y8" s="23" t="s">
        <v>15</v>
      </c>
      <c r="Z8" s="22" t="s">
        <v>55</v>
      </c>
      <c r="AA8" s="23" t="s">
        <v>15</v>
      </c>
      <c r="AB8" s="22" t="s">
        <v>55</v>
      </c>
      <c r="AC8" s="23" t="s">
        <v>15</v>
      </c>
      <c r="AD8" s="22" t="s">
        <v>55</v>
      </c>
      <c r="AE8" s="23" t="s">
        <v>15</v>
      </c>
      <c r="AF8" s="22" t="s">
        <v>55</v>
      </c>
      <c r="AG8" s="23" t="s">
        <v>15</v>
      </c>
      <c r="AH8" s="22" t="s">
        <v>55</v>
      </c>
      <c r="AI8" s="23" t="s">
        <v>15</v>
      </c>
      <c r="AJ8" s="22" t="s">
        <v>55</v>
      </c>
      <c r="AK8" s="23" t="s">
        <v>15</v>
      </c>
      <c r="AL8" s="22" t="s">
        <v>55</v>
      </c>
      <c r="AM8" s="23" t="s">
        <v>15</v>
      </c>
      <c r="AN8" s="22" t="s">
        <v>55</v>
      </c>
      <c r="AO8" s="23" t="s">
        <v>15</v>
      </c>
      <c r="AP8" s="22" t="s">
        <v>55</v>
      </c>
      <c r="AQ8" s="23" t="s">
        <v>15</v>
      </c>
      <c r="AR8" s="22" t="s">
        <v>55</v>
      </c>
      <c r="AS8" s="23" t="s">
        <v>15</v>
      </c>
      <c r="AT8" s="22" t="s">
        <v>55</v>
      </c>
      <c r="AU8" s="23" t="s">
        <v>15</v>
      </c>
      <c r="AV8" s="22" t="s">
        <v>55</v>
      </c>
      <c r="AW8" s="23" t="s">
        <v>15</v>
      </c>
      <c r="AX8" s="22" t="s">
        <v>55</v>
      </c>
      <c r="AY8" s="23" t="s">
        <v>15</v>
      </c>
      <c r="AZ8" s="22" t="s">
        <v>55</v>
      </c>
      <c r="BA8" s="23" t="s">
        <v>15</v>
      </c>
      <c r="BB8" s="22" t="s">
        <v>55</v>
      </c>
      <c r="BC8" s="23" t="s">
        <v>15</v>
      </c>
      <c r="BD8" s="22" t="s">
        <v>55</v>
      </c>
      <c r="BE8" s="23" t="s">
        <v>15</v>
      </c>
    </row>
    <row r="9" spans="1:57" s="18" customFormat="1" ht="27.75" customHeight="1" x14ac:dyDescent="0.25">
      <c r="A9" s="24" t="s">
        <v>56</v>
      </c>
      <c r="B9" s="25" t="s">
        <v>65</v>
      </c>
      <c r="C9" s="24">
        <v>60</v>
      </c>
      <c r="D9" s="49">
        <f>C9*E9/100</f>
        <v>3</v>
      </c>
      <c r="E9" s="24">
        <v>5</v>
      </c>
      <c r="F9" s="49">
        <f>C9*G9/100</f>
        <v>2.1</v>
      </c>
      <c r="G9" s="24">
        <f>SUM(G10:G14)</f>
        <v>3.5</v>
      </c>
      <c r="H9" s="49">
        <f>C9*I9/100</f>
        <v>2.04</v>
      </c>
      <c r="I9" s="24">
        <f>SUM(I10:I14)</f>
        <v>3.4</v>
      </c>
      <c r="J9" s="49">
        <f>C9*K9/100</f>
        <v>2.04</v>
      </c>
      <c r="K9" s="24">
        <f>SUM(K10:K14)</f>
        <v>3.4</v>
      </c>
      <c r="L9" s="49">
        <f>M9*C9/100</f>
        <v>2.4</v>
      </c>
      <c r="M9" s="24">
        <f t="shared" ref="M9" si="0">SUM(M10:M14)</f>
        <v>4</v>
      </c>
      <c r="N9" s="49">
        <f>O9*C9/100</f>
        <v>2.2200000000000002</v>
      </c>
      <c r="O9" s="24">
        <f t="shared" ref="O9" si="1">SUM(O10:O14)</f>
        <v>3.7</v>
      </c>
      <c r="P9" s="49">
        <f>Q9*C9/100</f>
        <v>1.8</v>
      </c>
      <c r="Q9" s="24">
        <f t="shared" ref="Q9" si="2">SUM(Q10:Q14)</f>
        <v>3</v>
      </c>
      <c r="R9" s="49">
        <f>S9*C9/100</f>
        <v>1.8</v>
      </c>
      <c r="S9" s="24">
        <f t="shared" ref="S9" si="3">SUM(S10:S14)</f>
        <v>3</v>
      </c>
      <c r="T9" s="49">
        <f>U9*C9/100</f>
        <v>1.92</v>
      </c>
      <c r="U9" s="24">
        <f t="shared" ref="U9" si="4">SUM(U10:U14)</f>
        <v>3.2</v>
      </c>
      <c r="V9" s="49">
        <f>W9*C9/100</f>
        <v>2.2200000000000002</v>
      </c>
      <c r="W9" s="24">
        <f t="shared" ref="W9" si="5">SUM(W10:W14)</f>
        <v>3.7</v>
      </c>
      <c r="X9" s="49">
        <f>Y9*C9/100</f>
        <v>2.4</v>
      </c>
      <c r="Y9" s="24">
        <f t="shared" ref="Y9" si="6">SUM(Y10:Y14)</f>
        <v>4</v>
      </c>
      <c r="Z9" s="49">
        <f>AA9*C9/100</f>
        <v>1.8</v>
      </c>
      <c r="AA9" s="24">
        <f t="shared" ref="AA9" si="7">SUM(AA10:AA14)</f>
        <v>3</v>
      </c>
      <c r="AB9" s="49">
        <f>AC9*C9/100</f>
        <v>2.4</v>
      </c>
      <c r="AC9" s="24">
        <f t="shared" ref="AC9:AE9" si="8">SUM(AC10:AC14)</f>
        <v>4</v>
      </c>
      <c r="AD9" s="49">
        <f>AE9*C9/100</f>
        <v>2.2200000000000002</v>
      </c>
      <c r="AE9" s="24">
        <f t="shared" si="8"/>
        <v>3.7</v>
      </c>
      <c r="AF9" s="49">
        <f>AG9*C9/100</f>
        <v>2.2200000000000002</v>
      </c>
      <c r="AG9" s="24">
        <f>SUM(AG10:AG14)</f>
        <v>3.7</v>
      </c>
      <c r="AH9" s="49">
        <f>AI9*C9/100</f>
        <v>2.2200000000000002</v>
      </c>
      <c r="AI9" s="24">
        <f t="shared" ref="AI9" si="9">SUM(AI10:AI14)</f>
        <v>3.7</v>
      </c>
      <c r="AJ9" s="49">
        <f>AK9*C9/100</f>
        <v>2.2200000000000002</v>
      </c>
      <c r="AK9" s="24">
        <f t="shared" ref="AK9" si="10">SUM(AK10:AK14)</f>
        <v>3.7</v>
      </c>
      <c r="AL9" s="49">
        <f>AM9*C9/100</f>
        <v>2.4</v>
      </c>
      <c r="AM9" s="24">
        <f t="shared" ref="AM9" si="11">SUM(AM10:AM14)</f>
        <v>4</v>
      </c>
      <c r="AN9" s="49">
        <f>AO9*C9/100</f>
        <v>2.4</v>
      </c>
      <c r="AO9" s="24">
        <f t="shared" ref="AO9" si="12">SUM(AO10:AO14)</f>
        <v>4</v>
      </c>
      <c r="AP9" s="49">
        <f>AQ9*C9/100</f>
        <v>1.44</v>
      </c>
      <c r="AQ9" s="24">
        <f t="shared" ref="AQ9" si="13">SUM(AQ10:AQ14)</f>
        <v>2.4</v>
      </c>
      <c r="AR9" s="49">
        <f>AS9*C9/100</f>
        <v>1.62</v>
      </c>
      <c r="AS9" s="24">
        <f t="shared" ref="AS9" si="14">SUM(AS10:AS14)</f>
        <v>2.7</v>
      </c>
      <c r="AT9" s="49">
        <f>AU9*C9/100</f>
        <v>2.04</v>
      </c>
      <c r="AU9" s="24">
        <f t="shared" ref="AU9" si="15">SUM(AU10:AU14)</f>
        <v>3.4</v>
      </c>
      <c r="AV9" s="49">
        <f>AW9*C9/100</f>
        <v>1.98</v>
      </c>
      <c r="AW9" s="24">
        <f t="shared" ref="AW9" si="16">SUM(AW10:AW14)</f>
        <v>3.3</v>
      </c>
      <c r="AX9" s="49">
        <f>AY9*C9/100</f>
        <v>2.52</v>
      </c>
      <c r="AY9" s="24">
        <f t="shared" ref="AY9" si="17">SUM(AY10:AY14)</f>
        <v>4.2</v>
      </c>
      <c r="AZ9" s="49">
        <f>BA9*C9/100</f>
        <v>1.8</v>
      </c>
      <c r="BA9" s="24">
        <f t="shared" ref="BA9" si="18">SUM(BA10:BA14)</f>
        <v>3</v>
      </c>
      <c r="BB9" s="49">
        <f>BC9*C9/100</f>
        <v>2.2200000000000002</v>
      </c>
      <c r="BC9" s="24">
        <f t="shared" ref="BC9" si="19">SUM(BC10:BC14)</f>
        <v>3.7</v>
      </c>
      <c r="BD9" s="49">
        <f>BE9*C9/100</f>
        <v>1.62</v>
      </c>
      <c r="BE9" s="24">
        <f t="shared" ref="BE9" si="20">SUM(BE10:BE14)</f>
        <v>2.7</v>
      </c>
    </row>
    <row r="10" spans="1:57" s="34" customFormat="1" ht="27.75" customHeight="1" x14ac:dyDescent="0.25">
      <c r="A10" s="66">
        <v>1</v>
      </c>
      <c r="B10" s="65" t="s">
        <v>27</v>
      </c>
      <c r="C10" s="56"/>
      <c r="D10" s="56"/>
      <c r="E10" s="56"/>
      <c r="F10" s="126"/>
      <c r="G10" s="33">
        <v>0.5</v>
      </c>
      <c r="H10" s="56"/>
      <c r="I10" s="33">
        <v>0.7</v>
      </c>
      <c r="J10" s="56"/>
      <c r="K10" s="57">
        <v>0.7</v>
      </c>
      <c r="L10" s="73"/>
      <c r="M10" s="74">
        <v>1</v>
      </c>
      <c r="N10" s="73"/>
      <c r="O10" s="74">
        <v>0.7</v>
      </c>
      <c r="P10" s="73"/>
      <c r="Q10" s="74">
        <v>1</v>
      </c>
      <c r="R10" s="73"/>
      <c r="S10" s="74">
        <v>0.7</v>
      </c>
      <c r="T10" s="76"/>
      <c r="U10" s="77">
        <v>0.5</v>
      </c>
      <c r="V10" s="76"/>
      <c r="W10" s="77">
        <v>0.7</v>
      </c>
      <c r="X10" s="76"/>
      <c r="Y10" s="77">
        <v>1</v>
      </c>
      <c r="Z10" s="76"/>
      <c r="AA10" s="77">
        <v>1</v>
      </c>
      <c r="AB10" s="76"/>
      <c r="AC10" s="77">
        <v>1</v>
      </c>
      <c r="AD10" s="76"/>
      <c r="AE10" s="77">
        <v>1</v>
      </c>
      <c r="AF10" s="76"/>
      <c r="AG10" s="77">
        <v>1</v>
      </c>
      <c r="AH10" s="76"/>
      <c r="AI10" s="77">
        <v>1</v>
      </c>
      <c r="AJ10" s="76"/>
      <c r="AK10" s="77">
        <v>1</v>
      </c>
      <c r="AL10" s="76"/>
      <c r="AM10" s="77">
        <v>1</v>
      </c>
      <c r="AN10" s="76"/>
      <c r="AO10" s="77">
        <v>1</v>
      </c>
      <c r="AP10" s="76"/>
      <c r="AQ10" s="77">
        <v>0.7</v>
      </c>
      <c r="AR10" s="76"/>
      <c r="AS10" s="77">
        <v>0.7</v>
      </c>
      <c r="AT10" s="76"/>
      <c r="AU10" s="77">
        <v>0.7</v>
      </c>
      <c r="AV10" s="76"/>
      <c r="AW10" s="77">
        <v>1</v>
      </c>
      <c r="AX10" s="76"/>
      <c r="AY10" s="77">
        <v>0.7</v>
      </c>
      <c r="AZ10" s="76"/>
      <c r="BA10" s="77">
        <v>1</v>
      </c>
      <c r="BB10" s="76"/>
      <c r="BC10" s="77">
        <v>1</v>
      </c>
      <c r="BD10" s="76"/>
      <c r="BE10" s="77">
        <v>0.7</v>
      </c>
    </row>
    <row r="11" spans="1:57" s="34" customFormat="1" ht="27.75" customHeight="1" x14ac:dyDescent="0.25">
      <c r="A11" s="66">
        <v>2</v>
      </c>
      <c r="B11" s="65" t="s">
        <v>28</v>
      </c>
      <c r="C11" s="56"/>
      <c r="D11" s="56"/>
      <c r="E11" s="56"/>
      <c r="F11" s="127"/>
      <c r="G11" s="33">
        <v>0</v>
      </c>
      <c r="H11" s="56"/>
      <c r="I11" s="33">
        <v>0</v>
      </c>
      <c r="J11" s="56"/>
      <c r="K11" s="57">
        <v>0</v>
      </c>
      <c r="L11" s="73"/>
      <c r="M11" s="74">
        <v>0</v>
      </c>
      <c r="N11" s="73"/>
      <c r="O11" s="74">
        <v>0</v>
      </c>
      <c r="P11" s="73"/>
      <c r="Q11" s="74"/>
      <c r="R11" s="73"/>
      <c r="S11" s="74">
        <v>0</v>
      </c>
      <c r="T11" s="76"/>
      <c r="U11" s="77">
        <v>0</v>
      </c>
      <c r="V11" s="76"/>
      <c r="W11" s="77">
        <v>1</v>
      </c>
      <c r="X11" s="76"/>
      <c r="Y11" s="77">
        <v>0</v>
      </c>
      <c r="Z11" s="76"/>
      <c r="AA11" s="77">
        <v>0</v>
      </c>
      <c r="AB11" s="76"/>
      <c r="AC11" s="77">
        <v>0</v>
      </c>
      <c r="AD11" s="76"/>
      <c r="AE11" s="77">
        <v>0</v>
      </c>
      <c r="AF11" s="76"/>
      <c r="AG11" s="77">
        <v>0</v>
      </c>
      <c r="AH11" s="76"/>
      <c r="AI11" s="77">
        <v>0</v>
      </c>
      <c r="AJ11" s="76"/>
      <c r="AK11" s="77">
        <v>0</v>
      </c>
      <c r="AL11" s="76"/>
      <c r="AM11" s="77">
        <v>0</v>
      </c>
      <c r="AN11" s="76"/>
      <c r="AO11" s="77">
        <v>0</v>
      </c>
      <c r="AP11" s="76"/>
      <c r="AQ11" s="77">
        <v>0</v>
      </c>
      <c r="AR11" s="76"/>
      <c r="AS11" s="77">
        <v>0</v>
      </c>
      <c r="AT11" s="76"/>
      <c r="AU11" s="77">
        <v>0</v>
      </c>
      <c r="AV11" s="76"/>
      <c r="AW11" s="77">
        <v>0</v>
      </c>
      <c r="AX11" s="76"/>
      <c r="AY11" s="77">
        <v>0.5</v>
      </c>
      <c r="AZ11" s="76"/>
      <c r="BA11" s="77">
        <v>0</v>
      </c>
      <c r="BB11" s="76"/>
      <c r="BC11" s="77">
        <v>0</v>
      </c>
      <c r="BD11" s="76"/>
      <c r="BE11" s="77">
        <v>0</v>
      </c>
    </row>
    <row r="12" spans="1:57" s="34" customFormat="1" ht="27.75" customHeight="1" x14ac:dyDescent="0.25">
      <c r="A12" s="66">
        <v>3</v>
      </c>
      <c r="B12" s="65" t="s">
        <v>29</v>
      </c>
      <c r="C12" s="56"/>
      <c r="D12" s="56"/>
      <c r="E12" s="56"/>
      <c r="F12" s="127"/>
      <c r="G12" s="33">
        <v>1</v>
      </c>
      <c r="H12" s="56"/>
      <c r="I12" s="33">
        <v>0.7</v>
      </c>
      <c r="J12" s="56"/>
      <c r="K12" s="57">
        <v>0.7</v>
      </c>
      <c r="L12" s="73"/>
      <c r="M12" s="74">
        <v>1</v>
      </c>
      <c r="N12" s="73"/>
      <c r="O12" s="74">
        <v>1</v>
      </c>
      <c r="P12" s="73"/>
      <c r="Q12" s="74">
        <v>1</v>
      </c>
      <c r="R12" s="73"/>
      <c r="S12" s="74">
        <v>0.3</v>
      </c>
      <c r="T12" s="76"/>
      <c r="U12" s="77">
        <v>0.7</v>
      </c>
      <c r="V12" s="76"/>
      <c r="W12" s="77">
        <v>1</v>
      </c>
      <c r="X12" s="76"/>
      <c r="Y12" s="77">
        <v>1</v>
      </c>
      <c r="Z12" s="76"/>
      <c r="AA12" s="77">
        <v>1</v>
      </c>
      <c r="AB12" s="76"/>
      <c r="AC12" s="77">
        <v>1</v>
      </c>
      <c r="AD12" s="76"/>
      <c r="AE12" s="77">
        <v>0.7</v>
      </c>
      <c r="AF12" s="76"/>
      <c r="AG12" s="77">
        <v>0.7</v>
      </c>
      <c r="AH12" s="76"/>
      <c r="AI12" s="77">
        <v>0.7</v>
      </c>
      <c r="AJ12" s="76"/>
      <c r="AK12" s="77">
        <v>0.7</v>
      </c>
      <c r="AL12" s="76"/>
      <c r="AM12" s="77">
        <v>1</v>
      </c>
      <c r="AN12" s="76"/>
      <c r="AO12" s="77">
        <v>1</v>
      </c>
      <c r="AP12" s="76"/>
      <c r="AQ12" s="77">
        <v>0.7</v>
      </c>
      <c r="AR12" s="76"/>
      <c r="AS12" s="77">
        <v>1</v>
      </c>
      <c r="AT12" s="76"/>
      <c r="AU12" s="77">
        <v>0.7</v>
      </c>
      <c r="AV12" s="76"/>
      <c r="AW12" s="77">
        <v>0.3</v>
      </c>
      <c r="AX12" s="76"/>
      <c r="AY12" s="77">
        <v>1</v>
      </c>
      <c r="AZ12" s="76"/>
      <c r="BA12" s="77">
        <v>0</v>
      </c>
      <c r="BB12" s="76"/>
      <c r="BC12" s="77">
        <v>0.7</v>
      </c>
      <c r="BD12" s="76"/>
      <c r="BE12" s="77">
        <v>1</v>
      </c>
    </row>
    <row r="13" spans="1:57" s="34" customFormat="1" ht="55.5" customHeight="1" x14ac:dyDescent="0.25">
      <c r="A13" s="66">
        <v>4</v>
      </c>
      <c r="B13" s="65" t="s">
        <v>30</v>
      </c>
      <c r="C13" s="56"/>
      <c r="D13" s="56"/>
      <c r="E13" s="56"/>
      <c r="F13" s="127"/>
      <c r="G13" s="33">
        <v>1</v>
      </c>
      <c r="H13" s="56"/>
      <c r="I13" s="33">
        <v>1</v>
      </c>
      <c r="J13" s="56"/>
      <c r="K13" s="57">
        <v>1</v>
      </c>
      <c r="L13" s="73"/>
      <c r="M13" s="74">
        <v>1</v>
      </c>
      <c r="N13" s="73"/>
      <c r="O13" s="74">
        <v>1</v>
      </c>
      <c r="P13" s="73"/>
      <c r="Q13" s="74"/>
      <c r="R13" s="73"/>
      <c r="S13" s="74">
        <v>1</v>
      </c>
      <c r="T13" s="76"/>
      <c r="U13" s="77">
        <v>1</v>
      </c>
      <c r="V13" s="76"/>
      <c r="W13" s="77">
        <v>0</v>
      </c>
      <c r="X13" s="76"/>
      <c r="Y13" s="77">
        <v>1</v>
      </c>
      <c r="Z13" s="76"/>
      <c r="AA13" s="77">
        <v>0</v>
      </c>
      <c r="AB13" s="76"/>
      <c r="AC13" s="77">
        <v>1</v>
      </c>
      <c r="AD13" s="76"/>
      <c r="AE13" s="77">
        <v>1</v>
      </c>
      <c r="AF13" s="76"/>
      <c r="AG13" s="77">
        <v>1</v>
      </c>
      <c r="AH13" s="76"/>
      <c r="AI13" s="77">
        <v>1</v>
      </c>
      <c r="AJ13" s="76"/>
      <c r="AK13" s="77">
        <v>1</v>
      </c>
      <c r="AL13" s="76"/>
      <c r="AM13" s="77">
        <v>1</v>
      </c>
      <c r="AN13" s="76"/>
      <c r="AO13" s="77">
        <v>1</v>
      </c>
      <c r="AP13" s="76"/>
      <c r="AQ13" s="77">
        <v>0</v>
      </c>
      <c r="AR13" s="76"/>
      <c r="AS13" s="77">
        <v>0</v>
      </c>
      <c r="AT13" s="76"/>
      <c r="AU13" s="77">
        <v>1</v>
      </c>
      <c r="AV13" s="76"/>
      <c r="AW13" s="77">
        <v>1</v>
      </c>
      <c r="AX13" s="76"/>
      <c r="AY13" s="77">
        <v>1</v>
      </c>
      <c r="AZ13" s="76"/>
      <c r="BA13" s="77">
        <v>1</v>
      </c>
      <c r="BB13" s="76"/>
      <c r="BC13" s="77">
        <v>1</v>
      </c>
      <c r="BD13" s="76"/>
      <c r="BE13" s="77">
        <v>0</v>
      </c>
    </row>
    <row r="14" spans="1:57" s="21" customFormat="1" ht="57" customHeight="1" x14ac:dyDescent="0.25">
      <c r="A14" s="66">
        <v>5</v>
      </c>
      <c r="B14" s="64" t="s">
        <v>31</v>
      </c>
      <c r="C14" s="59"/>
      <c r="D14" s="59"/>
      <c r="E14" s="59"/>
      <c r="F14" s="128"/>
      <c r="G14" s="23">
        <v>1</v>
      </c>
      <c r="H14" s="59"/>
      <c r="I14" s="51">
        <v>1</v>
      </c>
      <c r="J14" s="60"/>
      <c r="K14" s="51">
        <v>1</v>
      </c>
      <c r="L14" s="72"/>
      <c r="M14" s="51">
        <v>1</v>
      </c>
      <c r="N14" s="72"/>
      <c r="O14" s="51">
        <v>1</v>
      </c>
      <c r="P14" s="72"/>
      <c r="Q14" s="51">
        <v>1</v>
      </c>
      <c r="R14" s="72"/>
      <c r="S14" s="51">
        <v>1</v>
      </c>
      <c r="T14" s="75"/>
      <c r="U14" s="51">
        <v>1</v>
      </c>
      <c r="V14" s="75"/>
      <c r="W14" s="51">
        <v>1</v>
      </c>
      <c r="X14" s="75"/>
      <c r="Y14" s="51">
        <v>1</v>
      </c>
      <c r="Z14" s="75"/>
      <c r="AA14" s="51">
        <v>1</v>
      </c>
      <c r="AB14" s="75"/>
      <c r="AC14" s="51">
        <v>1</v>
      </c>
      <c r="AD14" s="75"/>
      <c r="AE14" s="51">
        <v>1</v>
      </c>
      <c r="AF14" s="75"/>
      <c r="AG14" s="51">
        <v>1</v>
      </c>
      <c r="AH14" s="75"/>
      <c r="AI14" s="51">
        <v>1</v>
      </c>
      <c r="AJ14" s="75"/>
      <c r="AK14" s="51">
        <v>1</v>
      </c>
      <c r="AL14" s="75"/>
      <c r="AM14" s="51">
        <v>1</v>
      </c>
      <c r="AN14" s="75"/>
      <c r="AO14" s="51">
        <v>1</v>
      </c>
      <c r="AP14" s="75"/>
      <c r="AQ14" s="51">
        <v>1</v>
      </c>
      <c r="AR14" s="75"/>
      <c r="AS14" s="51">
        <v>1</v>
      </c>
      <c r="AT14" s="75"/>
      <c r="AU14" s="51">
        <v>1</v>
      </c>
      <c r="AV14" s="75"/>
      <c r="AW14" s="51">
        <v>1</v>
      </c>
      <c r="AX14" s="75"/>
      <c r="AY14" s="51">
        <v>1</v>
      </c>
      <c r="AZ14" s="75"/>
      <c r="BA14" s="51">
        <v>1</v>
      </c>
      <c r="BB14" s="75"/>
      <c r="BC14" s="51">
        <v>1</v>
      </c>
      <c r="BD14" s="75"/>
      <c r="BE14" s="51">
        <v>1</v>
      </c>
    </row>
    <row r="15" spans="1:57" s="18" customFormat="1" ht="31.5" x14ac:dyDescent="0.25">
      <c r="A15" s="24" t="s">
        <v>57</v>
      </c>
      <c r="B15" s="52" t="s">
        <v>64</v>
      </c>
      <c r="C15" s="24">
        <v>10</v>
      </c>
      <c r="D15" s="24">
        <f>C15*E15/100</f>
        <v>0.1</v>
      </c>
      <c r="E15" s="24">
        <v>1</v>
      </c>
      <c r="F15" s="24">
        <f>C15*G15/100</f>
        <v>0.1</v>
      </c>
      <c r="G15" s="24">
        <f>G16</f>
        <v>1</v>
      </c>
      <c r="H15" s="24">
        <f>C15*I15/100</f>
        <v>0.1</v>
      </c>
      <c r="I15" s="24">
        <f>SUM(I16:I16)</f>
        <v>1</v>
      </c>
      <c r="J15" s="24">
        <f>C15*K15/100</f>
        <v>0.1</v>
      </c>
      <c r="K15" s="24">
        <f>SUM(K16:K16)</f>
        <v>1</v>
      </c>
      <c r="L15" s="24">
        <f>M15*C15/100</f>
        <v>0.1</v>
      </c>
      <c r="M15" s="24">
        <f t="shared" ref="M15" si="21">SUM(M16:M16)</f>
        <v>1</v>
      </c>
      <c r="N15" s="24">
        <f>O15*C15/100</f>
        <v>0.1</v>
      </c>
      <c r="O15" s="24">
        <f t="shared" ref="O15" si="22">SUM(O16:O16)</f>
        <v>1</v>
      </c>
      <c r="P15" s="24">
        <f>Q15*C15/100</f>
        <v>0.1</v>
      </c>
      <c r="Q15" s="24">
        <f t="shared" ref="Q15" si="23">SUM(Q16:Q16)</f>
        <v>1</v>
      </c>
      <c r="R15" s="24">
        <f>S15*C15/100</f>
        <v>0.1</v>
      </c>
      <c r="S15" s="24">
        <f t="shared" ref="S15:BE15" si="24">SUM(S16:S16)</f>
        <v>1</v>
      </c>
      <c r="T15" s="24">
        <f>U15*C15/100</f>
        <v>0.1</v>
      </c>
      <c r="U15" s="24">
        <f t="shared" si="24"/>
        <v>1</v>
      </c>
      <c r="V15" s="24">
        <f>W15*C15/100</f>
        <v>0.1</v>
      </c>
      <c r="W15" s="24">
        <f t="shared" si="24"/>
        <v>1</v>
      </c>
      <c r="X15" s="24">
        <f>Y15*C15/100</f>
        <v>0.1</v>
      </c>
      <c r="Y15" s="24">
        <f t="shared" si="24"/>
        <v>1</v>
      </c>
      <c r="Z15" s="24">
        <f>AA15*C15/100</f>
        <v>0.1</v>
      </c>
      <c r="AA15" s="24">
        <f t="shared" si="24"/>
        <v>1</v>
      </c>
      <c r="AB15" s="24">
        <f>AC15*C15/100</f>
        <v>0.1</v>
      </c>
      <c r="AC15" s="24">
        <f t="shared" si="24"/>
        <v>1</v>
      </c>
      <c r="AD15" s="24">
        <f>AE15*C15/100</f>
        <v>0.1</v>
      </c>
      <c r="AE15" s="24">
        <f t="shared" si="24"/>
        <v>1</v>
      </c>
      <c r="AF15" s="24">
        <f>AG15*C15/100</f>
        <v>0.1</v>
      </c>
      <c r="AG15" s="24">
        <f t="shared" si="24"/>
        <v>1</v>
      </c>
      <c r="AH15" s="24">
        <f>AI15*C15/100</f>
        <v>0.1</v>
      </c>
      <c r="AI15" s="24">
        <f t="shared" si="24"/>
        <v>1</v>
      </c>
      <c r="AJ15" s="24">
        <f>AK15*C15/100</f>
        <v>0.1</v>
      </c>
      <c r="AK15" s="24">
        <f t="shared" si="24"/>
        <v>1</v>
      </c>
      <c r="AL15" s="24">
        <f>AM15*C15/100</f>
        <v>0.1</v>
      </c>
      <c r="AM15" s="24">
        <f t="shared" si="24"/>
        <v>1</v>
      </c>
      <c r="AN15" s="24">
        <f>AO15*C15/100</f>
        <v>0.1</v>
      </c>
      <c r="AO15" s="24">
        <f t="shared" si="24"/>
        <v>1</v>
      </c>
      <c r="AP15" s="24">
        <f>AQ15*C15/100</f>
        <v>0.1</v>
      </c>
      <c r="AQ15" s="24">
        <f t="shared" si="24"/>
        <v>1</v>
      </c>
      <c r="AR15" s="24">
        <f>AS15*C15/100</f>
        <v>0.1</v>
      </c>
      <c r="AS15" s="24">
        <f t="shared" si="24"/>
        <v>1</v>
      </c>
      <c r="AT15" s="24">
        <f>AU15*C15/100</f>
        <v>0.1</v>
      </c>
      <c r="AU15" s="24">
        <f t="shared" si="24"/>
        <v>1</v>
      </c>
      <c r="AV15" s="24">
        <f>AW15*C15/100</f>
        <v>0.1</v>
      </c>
      <c r="AW15" s="24">
        <f t="shared" si="24"/>
        <v>1</v>
      </c>
      <c r="AX15" s="24">
        <f>AY15*C15/100</f>
        <v>0.1</v>
      </c>
      <c r="AY15" s="24">
        <f t="shared" si="24"/>
        <v>1</v>
      </c>
      <c r="AZ15" s="24">
        <f>BA15*C15/100</f>
        <v>0.1</v>
      </c>
      <c r="BA15" s="24">
        <f t="shared" si="24"/>
        <v>1</v>
      </c>
      <c r="BB15" s="24">
        <f>BC15*C15/100</f>
        <v>0.1</v>
      </c>
      <c r="BC15" s="24">
        <f t="shared" si="24"/>
        <v>1</v>
      </c>
      <c r="BD15" s="24">
        <f>BE15*C15/100</f>
        <v>0.1</v>
      </c>
      <c r="BE15" s="24">
        <f t="shared" si="24"/>
        <v>1</v>
      </c>
    </row>
    <row r="16" spans="1:57" s="18" customFormat="1" ht="27" customHeight="1" x14ac:dyDescent="0.25">
      <c r="A16" s="63">
        <v>1</v>
      </c>
      <c r="B16" s="64" t="s">
        <v>33</v>
      </c>
      <c r="C16" s="59"/>
      <c r="D16" s="59"/>
      <c r="E16" s="59"/>
      <c r="F16" s="58"/>
      <c r="G16" s="23">
        <v>1</v>
      </c>
      <c r="H16" s="59"/>
      <c r="I16" s="63">
        <v>1</v>
      </c>
      <c r="J16" s="59"/>
      <c r="K16" s="61">
        <v>1</v>
      </c>
      <c r="L16" s="69"/>
      <c r="M16" s="71">
        <v>1</v>
      </c>
      <c r="N16" s="69"/>
      <c r="O16" s="71">
        <v>1</v>
      </c>
      <c r="P16" s="69"/>
      <c r="Q16" s="71">
        <v>1</v>
      </c>
      <c r="R16" s="69"/>
      <c r="S16" s="71">
        <v>1</v>
      </c>
      <c r="T16" s="79"/>
      <c r="U16" s="81">
        <v>1</v>
      </c>
      <c r="V16" s="79"/>
      <c r="W16" s="81">
        <v>1</v>
      </c>
      <c r="X16" s="79"/>
      <c r="Y16" s="81">
        <v>1</v>
      </c>
      <c r="Z16" s="79"/>
      <c r="AA16" s="81">
        <v>1</v>
      </c>
      <c r="AB16" s="79"/>
      <c r="AC16" s="81">
        <v>1</v>
      </c>
      <c r="AD16" s="79"/>
      <c r="AE16" s="81">
        <v>1</v>
      </c>
      <c r="AF16" s="79"/>
      <c r="AG16" s="81">
        <v>1</v>
      </c>
      <c r="AH16" s="79"/>
      <c r="AI16" s="81">
        <v>1</v>
      </c>
      <c r="AJ16" s="79"/>
      <c r="AK16" s="81">
        <v>1</v>
      </c>
      <c r="AL16" s="79"/>
      <c r="AM16" s="81">
        <v>1</v>
      </c>
      <c r="AN16" s="79"/>
      <c r="AO16" s="81">
        <v>1</v>
      </c>
      <c r="AP16" s="79"/>
      <c r="AQ16" s="81">
        <v>1</v>
      </c>
      <c r="AR16" s="79"/>
      <c r="AS16" s="81">
        <v>1</v>
      </c>
      <c r="AT16" s="79"/>
      <c r="AU16" s="81">
        <v>1</v>
      </c>
      <c r="AV16" s="79"/>
      <c r="AW16" s="81">
        <v>1</v>
      </c>
      <c r="AX16" s="79"/>
      <c r="AY16" s="81">
        <v>1</v>
      </c>
      <c r="AZ16" s="79"/>
      <c r="BA16" s="81">
        <v>1</v>
      </c>
      <c r="BB16" s="79"/>
      <c r="BC16" s="81">
        <v>1</v>
      </c>
      <c r="BD16" s="79"/>
      <c r="BE16" s="81">
        <v>1</v>
      </c>
    </row>
    <row r="17" spans="1:57" s="18" customFormat="1" ht="24.75" customHeight="1" x14ac:dyDescent="0.25">
      <c r="A17" s="24" t="s">
        <v>58</v>
      </c>
      <c r="B17" s="25" t="s">
        <v>66</v>
      </c>
      <c r="C17" s="24">
        <v>10</v>
      </c>
      <c r="D17" s="24">
        <f>C17*E17/100</f>
        <v>0.1</v>
      </c>
      <c r="E17" s="24">
        <v>1</v>
      </c>
      <c r="F17" s="24">
        <f>C17*G17/100</f>
        <v>0</v>
      </c>
      <c r="G17" s="24">
        <f>G18</f>
        <v>0</v>
      </c>
      <c r="H17" s="24">
        <f>C17*I17/100</f>
        <v>0.1</v>
      </c>
      <c r="I17" s="24">
        <f>I18</f>
        <v>1</v>
      </c>
      <c r="J17" s="24">
        <f>C17*K17/100</f>
        <v>0.1</v>
      </c>
      <c r="K17" s="24">
        <f>K18</f>
        <v>1</v>
      </c>
      <c r="L17" s="24">
        <f>M17*C17/100</f>
        <v>0.1</v>
      </c>
      <c r="M17" s="24">
        <f t="shared" ref="M17" si="25">M18</f>
        <v>1</v>
      </c>
      <c r="N17" s="24">
        <f>O17*C17/100</f>
        <v>0.1</v>
      </c>
      <c r="O17" s="24">
        <f t="shared" ref="O17" si="26">O18</f>
        <v>1</v>
      </c>
      <c r="P17" s="24">
        <f>Q17*C17/100</f>
        <v>0.1</v>
      </c>
      <c r="Q17" s="24">
        <f t="shared" ref="Q17" si="27">Q18</f>
        <v>1</v>
      </c>
      <c r="R17" s="24">
        <f>S17*C17/100</f>
        <v>0.1</v>
      </c>
      <c r="S17" s="24">
        <f t="shared" ref="S17:BE17" si="28">S18</f>
        <v>1</v>
      </c>
      <c r="T17" s="24">
        <f>U17*C17/100</f>
        <v>0.1</v>
      </c>
      <c r="U17" s="24">
        <f t="shared" si="28"/>
        <v>1</v>
      </c>
      <c r="V17" s="24">
        <f>W17*C17/100</f>
        <v>0.1</v>
      </c>
      <c r="W17" s="24">
        <f t="shared" si="28"/>
        <v>1</v>
      </c>
      <c r="X17" s="24">
        <f>Y17*C17/100</f>
        <v>0.1</v>
      </c>
      <c r="Y17" s="24">
        <f t="shared" si="28"/>
        <v>1</v>
      </c>
      <c r="Z17" s="24">
        <f>AA17*C17/100</f>
        <v>0.1</v>
      </c>
      <c r="AA17" s="24">
        <f t="shared" si="28"/>
        <v>1</v>
      </c>
      <c r="AB17" s="24">
        <f>AC17*C17/100</f>
        <v>0.1</v>
      </c>
      <c r="AC17" s="24">
        <f t="shared" si="28"/>
        <v>1</v>
      </c>
      <c r="AD17" s="24">
        <f>AE17*C17/100</f>
        <v>0.1</v>
      </c>
      <c r="AE17" s="24">
        <f t="shared" si="28"/>
        <v>1</v>
      </c>
      <c r="AF17" s="24">
        <f>AG17*C17/100</f>
        <v>0.1</v>
      </c>
      <c r="AG17" s="24">
        <f t="shared" si="28"/>
        <v>1</v>
      </c>
      <c r="AH17" s="24">
        <f>AI17*C17/100</f>
        <v>0.1</v>
      </c>
      <c r="AI17" s="24">
        <f t="shared" si="28"/>
        <v>1</v>
      </c>
      <c r="AJ17" s="24">
        <f>AK17*C17/100</f>
        <v>0.1</v>
      </c>
      <c r="AK17" s="24">
        <f t="shared" si="28"/>
        <v>1</v>
      </c>
      <c r="AL17" s="24">
        <f>AM17*C17/100</f>
        <v>0.1</v>
      </c>
      <c r="AM17" s="24">
        <f t="shared" si="28"/>
        <v>1</v>
      </c>
      <c r="AN17" s="24">
        <f>AO17*C17/100</f>
        <v>0.1</v>
      </c>
      <c r="AO17" s="24">
        <f t="shared" si="28"/>
        <v>1</v>
      </c>
      <c r="AP17" s="24">
        <f>AQ17*C17/100</f>
        <v>0.1</v>
      </c>
      <c r="AQ17" s="24">
        <f t="shared" si="28"/>
        <v>1</v>
      </c>
      <c r="AR17" s="24">
        <f>AS17*C17/100</f>
        <v>0.1</v>
      </c>
      <c r="AS17" s="24">
        <f t="shared" si="28"/>
        <v>1</v>
      </c>
      <c r="AT17" s="24">
        <f>AU17*C17/100</f>
        <v>0.1</v>
      </c>
      <c r="AU17" s="24">
        <f t="shared" si="28"/>
        <v>1</v>
      </c>
      <c r="AV17" s="24">
        <f>AW17*C17/100</f>
        <v>0.1</v>
      </c>
      <c r="AW17" s="24">
        <f t="shared" si="28"/>
        <v>1</v>
      </c>
      <c r="AX17" s="24">
        <f>AY17*C17/100</f>
        <v>0.1</v>
      </c>
      <c r="AY17" s="24">
        <f t="shared" si="28"/>
        <v>1</v>
      </c>
      <c r="AZ17" s="24">
        <f>BA17*C17/100</f>
        <v>0.1</v>
      </c>
      <c r="BA17" s="24">
        <f t="shared" si="28"/>
        <v>1</v>
      </c>
      <c r="BB17" s="24">
        <f>BC17*C17/100</f>
        <v>0.1</v>
      </c>
      <c r="BC17" s="24">
        <f t="shared" si="28"/>
        <v>1</v>
      </c>
      <c r="BD17" s="24">
        <f>BE17*C17/100</f>
        <v>0.1</v>
      </c>
      <c r="BE17" s="24">
        <f t="shared" si="28"/>
        <v>1</v>
      </c>
    </row>
    <row r="18" spans="1:57" s="21" customFormat="1" ht="23.25" customHeight="1" x14ac:dyDescent="0.25">
      <c r="A18" s="63">
        <v>1</v>
      </c>
      <c r="B18" s="64" t="s">
        <v>34</v>
      </c>
      <c r="C18" s="58"/>
      <c r="D18" s="58"/>
      <c r="E18" s="58"/>
      <c r="F18" s="58"/>
      <c r="G18" s="63">
        <v>0</v>
      </c>
      <c r="H18" s="58"/>
      <c r="I18" s="63">
        <v>1</v>
      </c>
      <c r="J18" s="58"/>
      <c r="K18" s="61">
        <v>1</v>
      </c>
      <c r="L18" s="68"/>
      <c r="M18" s="71">
        <v>1</v>
      </c>
      <c r="N18" s="68"/>
      <c r="O18" s="71">
        <v>1</v>
      </c>
      <c r="P18" s="68"/>
      <c r="Q18" s="71">
        <v>1</v>
      </c>
      <c r="R18" s="68"/>
      <c r="S18" s="71">
        <v>1</v>
      </c>
      <c r="T18" s="78"/>
      <c r="U18" s="81">
        <v>1</v>
      </c>
      <c r="V18" s="78"/>
      <c r="W18" s="81">
        <v>1</v>
      </c>
      <c r="X18" s="78"/>
      <c r="Y18" s="81">
        <v>1</v>
      </c>
      <c r="Z18" s="78"/>
      <c r="AA18" s="81">
        <v>1</v>
      </c>
      <c r="AB18" s="78"/>
      <c r="AC18" s="81">
        <v>1</v>
      </c>
      <c r="AD18" s="78"/>
      <c r="AE18" s="81">
        <v>1</v>
      </c>
      <c r="AF18" s="78"/>
      <c r="AG18" s="81">
        <v>1</v>
      </c>
      <c r="AH18" s="78"/>
      <c r="AI18" s="81">
        <v>1</v>
      </c>
      <c r="AJ18" s="78"/>
      <c r="AK18" s="81">
        <v>1</v>
      </c>
      <c r="AL18" s="78"/>
      <c r="AM18" s="81">
        <v>1</v>
      </c>
      <c r="AN18" s="78"/>
      <c r="AO18" s="81">
        <v>1</v>
      </c>
      <c r="AP18" s="78"/>
      <c r="AQ18" s="81">
        <v>1</v>
      </c>
      <c r="AR18" s="78"/>
      <c r="AS18" s="81">
        <v>1</v>
      </c>
      <c r="AT18" s="78"/>
      <c r="AU18" s="81">
        <v>1</v>
      </c>
      <c r="AV18" s="78"/>
      <c r="AW18" s="81">
        <v>1</v>
      </c>
      <c r="AX18" s="78"/>
      <c r="AY18" s="81">
        <v>1</v>
      </c>
      <c r="AZ18" s="78"/>
      <c r="BA18" s="81">
        <v>1</v>
      </c>
      <c r="BB18" s="78"/>
      <c r="BC18" s="81">
        <v>1</v>
      </c>
      <c r="BD18" s="78"/>
      <c r="BE18" s="81">
        <v>1</v>
      </c>
    </row>
    <row r="19" spans="1:57" s="18" customFormat="1" ht="31.5" x14ac:dyDescent="0.25">
      <c r="A19" s="24" t="s">
        <v>59</v>
      </c>
      <c r="B19" s="52" t="s">
        <v>67</v>
      </c>
      <c r="C19" s="26">
        <v>20</v>
      </c>
      <c r="D19" s="26">
        <f>C19*E19/100</f>
        <v>0.4</v>
      </c>
      <c r="E19" s="26">
        <v>2</v>
      </c>
      <c r="F19" s="26">
        <f>C19*G19/100</f>
        <v>0.4</v>
      </c>
      <c r="G19" s="26">
        <f>G20+G21</f>
        <v>2</v>
      </c>
      <c r="H19" s="26">
        <f>C19*I19/100</f>
        <v>0.4</v>
      </c>
      <c r="I19" s="24">
        <f>I20+I21</f>
        <v>2</v>
      </c>
      <c r="J19" s="26">
        <f>C19*K19/100</f>
        <v>0.4</v>
      </c>
      <c r="K19" s="24">
        <f>K20+K21</f>
        <v>2</v>
      </c>
      <c r="L19" s="26">
        <f>M19*C19/100</f>
        <v>0.4</v>
      </c>
      <c r="M19" s="24">
        <f t="shared" ref="M19" si="29">M20+M21</f>
        <v>2</v>
      </c>
      <c r="N19" s="26">
        <f>O19*C19/100</f>
        <v>0.2</v>
      </c>
      <c r="O19" s="24">
        <f t="shared" ref="O19" si="30">O20+O21</f>
        <v>1</v>
      </c>
      <c r="P19" s="26">
        <f>Q19*C19/100</f>
        <v>0.4</v>
      </c>
      <c r="Q19" s="24">
        <f t="shared" ref="Q19" si="31">Q20+Q21</f>
        <v>2</v>
      </c>
      <c r="R19" s="26">
        <f>S19*C19/100</f>
        <v>0.4</v>
      </c>
      <c r="S19" s="24">
        <f t="shared" ref="S19" si="32">S20+S21</f>
        <v>2</v>
      </c>
      <c r="T19" s="26">
        <f>U19*C19/100</f>
        <v>0.4</v>
      </c>
      <c r="U19" s="24">
        <f t="shared" ref="U19" si="33">U20+U21</f>
        <v>2</v>
      </c>
      <c r="V19" s="26">
        <f>W19*C19/100</f>
        <v>0.2</v>
      </c>
      <c r="W19" s="24">
        <f t="shared" ref="W19" si="34">W20+W21</f>
        <v>1</v>
      </c>
      <c r="X19" s="26">
        <f>Y19*C19/100</f>
        <v>0.4</v>
      </c>
      <c r="Y19" s="24">
        <f t="shared" ref="Y19" si="35">Y20+Y21</f>
        <v>2</v>
      </c>
      <c r="Z19" s="26">
        <f>AA19*C19/100</f>
        <v>0.2</v>
      </c>
      <c r="AA19" s="24">
        <f t="shared" ref="AA19" si="36">AA20+AA21</f>
        <v>1</v>
      </c>
      <c r="AB19" s="26">
        <f>AC19*C19/100</f>
        <v>0.4</v>
      </c>
      <c r="AC19" s="24">
        <f t="shared" ref="AC19:AE19" si="37">AC20+AC21</f>
        <v>2</v>
      </c>
      <c r="AD19" s="26">
        <f>AE19*C19/100</f>
        <v>0.4</v>
      </c>
      <c r="AE19" s="24">
        <f t="shared" si="37"/>
        <v>2</v>
      </c>
      <c r="AF19" s="26">
        <f>AG19*C19/100</f>
        <v>0</v>
      </c>
      <c r="AG19" s="24">
        <f t="shared" ref="AG19" si="38">AG20+AG21</f>
        <v>0</v>
      </c>
      <c r="AH19" s="26">
        <f>AI19*C19/100</f>
        <v>0.4</v>
      </c>
      <c r="AI19" s="24">
        <f t="shared" ref="AI19" si="39">AI20+AI21</f>
        <v>2</v>
      </c>
      <c r="AJ19" s="26">
        <f>AK19*C19/100</f>
        <v>0.4</v>
      </c>
      <c r="AK19" s="24">
        <f t="shared" ref="AK19" si="40">AK20+AK21</f>
        <v>2</v>
      </c>
      <c r="AL19" s="26">
        <f>AM19*C19/100</f>
        <v>0.4</v>
      </c>
      <c r="AM19" s="24">
        <f t="shared" ref="AM19" si="41">AM20+AM21</f>
        <v>2</v>
      </c>
      <c r="AN19" s="26">
        <f>AO19*C19/100</f>
        <v>0.4</v>
      </c>
      <c r="AO19" s="24">
        <f t="shared" ref="AO19" si="42">AO20+AO21</f>
        <v>2</v>
      </c>
      <c r="AP19" s="26">
        <f>AQ19*C19/100</f>
        <v>0.4</v>
      </c>
      <c r="AQ19" s="24">
        <f t="shared" ref="AQ19" si="43">AQ20+AQ21</f>
        <v>2</v>
      </c>
      <c r="AR19" s="26">
        <f>AS19*C19/100</f>
        <v>0.2</v>
      </c>
      <c r="AS19" s="24">
        <f t="shared" ref="AS19" si="44">AS20+AS21</f>
        <v>1</v>
      </c>
      <c r="AT19" s="26">
        <f>AU19*C19/100</f>
        <v>0.2</v>
      </c>
      <c r="AU19" s="24">
        <f t="shared" ref="AU19" si="45">AU20+AU21</f>
        <v>1</v>
      </c>
      <c r="AV19" s="26">
        <f>AW19*C19/100</f>
        <v>0.4</v>
      </c>
      <c r="AW19" s="24">
        <f t="shared" ref="AW19" si="46">AW20+AW21</f>
        <v>2</v>
      </c>
      <c r="AX19" s="26">
        <f>AY19*C19/100</f>
        <v>0</v>
      </c>
      <c r="AY19" s="24">
        <f t="shared" ref="AY19" si="47">AY20+AY21</f>
        <v>0</v>
      </c>
      <c r="AZ19" s="26">
        <f>BA19*C19/100</f>
        <v>0.4</v>
      </c>
      <c r="BA19" s="24">
        <f t="shared" ref="BA19" si="48">BA20+BA21</f>
        <v>2</v>
      </c>
      <c r="BB19" s="26">
        <f>BC19*C19/100</f>
        <v>0.4</v>
      </c>
      <c r="BC19" s="24">
        <f t="shared" ref="BC19" si="49">BC20+BC21</f>
        <v>2</v>
      </c>
      <c r="BD19" s="26">
        <f>BE19*C19/100</f>
        <v>0.4</v>
      </c>
      <c r="BE19" s="24">
        <f t="shared" ref="BE19" si="50">BE20+BE21</f>
        <v>2</v>
      </c>
    </row>
    <row r="20" spans="1:57" s="21" customFormat="1" ht="42.75" customHeight="1" x14ac:dyDescent="0.25">
      <c r="A20" s="63">
        <v>1</v>
      </c>
      <c r="B20" s="64" t="s">
        <v>35</v>
      </c>
      <c r="C20" s="116"/>
      <c r="D20" s="116"/>
      <c r="E20" s="116"/>
      <c r="F20" s="116"/>
      <c r="G20" s="23">
        <v>1</v>
      </c>
      <c r="H20" s="27"/>
      <c r="I20" s="63">
        <v>1</v>
      </c>
      <c r="J20" s="27"/>
      <c r="K20" s="63">
        <v>1</v>
      </c>
      <c r="L20" s="27"/>
      <c r="M20" s="63">
        <v>1</v>
      </c>
      <c r="N20" s="27"/>
      <c r="O20" s="63">
        <v>1</v>
      </c>
      <c r="P20" s="27"/>
      <c r="Q20" s="63">
        <v>1</v>
      </c>
      <c r="R20" s="27"/>
      <c r="S20" s="63">
        <v>1</v>
      </c>
      <c r="T20" s="27"/>
      <c r="U20" s="63">
        <v>1</v>
      </c>
      <c r="V20" s="27"/>
      <c r="W20" s="63">
        <v>1</v>
      </c>
      <c r="X20" s="27"/>
      <c r="Y20" s="63">
        <v>1</v>
      </c>
      <c r="Z20" s="27"/>
      <c r="AA20" s="63">
        <v>1</v>
      </c>
      <c r="AB20" s="27"/>
      <c r="AC20" s="63">
        <v>1</v>
      </c>
      <c r="AD20" s="27"/>
      <c r="AE20" s="63">
        <v>1</v>
      </c>
      <c r="AF20" s="27"/>
      <c r="AG20" s="63">
        <v>0</v>
      </c>
      <c r="AH20" s="27"/>
      <c r="AI20" s="63">
        <v>1</v>
      </c>
      <c r="AJ20" s="27"/>
      <c r="AK20" s="63">
        <v>1</v>
      </c>
      <c r="AL20" s="27"/>
      <c r="AM20" s="63">
        <v>1</v>
      </c>
      <c r="AN20" s="27"/>
      <c r="AO20" s="63">
        <v>1</v>
      </c>
      <c r="AP20" s="27"/>
      <c r="AQ20" s="63">
        <v>1</v>
      </c>
      <c r="AR20" s="27"/>
      <c r="AS20" s="63">
        <v>1</v>
      </c>
      <c r="AT20" s="27"/>
      <c r="AU20" s="63">
        <v>1</v>
      </c>
      <c r="AV20" s="27"/>
      <c r="AW20" s="63">
        <v>1</v>
      </c>
      <c r="AX20" s="27"/>
      <c r="AY20" s="63">
        <v>0</v>
      </c>
      <c r="AZ20" s="27"/>
      <c r="BA20" s="63">
        <v>1</v>
      </c>
      <c r="BB20" s="27"/>
      <c r="BC20" s="63">
        <v>1</v>
      </c>
      <c r="BD20" s="27"/>
      <c r="BE20" s="63">
        <v>1</v>
      </c>
    </row>
    <row r="21" spans="1:57" s="21" customFormat="1" ht="34.5" customHeight="1" x14ac:dyDescent="0.25">
      <c r="A21" s="63">
        <v>2</v>
      </c>
      <c r="B21" s="64" t="s">
        <v>36</v>
      </c>
      <c r="C21" s="117"/>
      <c r="D21" s="118"/>
      <c r="E21" s="118"/>
      <c r="F21" s="117"/>
      <c r="G21" s="23">
        <v>1</v>
      </c>
      <c r="H21" s="27"/>
      <c r="I21" s="63">
        <v>1</v>
      </c>
      <c r="J21" s="27"/>
      <c r="K21" s="63">
        <v>1</v>
      </c>
      <c r="L21" s="27"/>
      <c r="M21" s="63">
        <v>1</v>
      </c>
      <c r="N21" s="27"/>
      <c r="O21" s="63">
        <v>0</v>
      </c>
      <c r="P21" s="27"/>
      <c r="Q21" s="63">
        <v>1</v>
      </c>
      <c r="R21" s="27"/>
      <c r="S21" s="63">
        <v>1</v>
      </c>
      <c r="T21" s="27"/>
      <c r="U21" s="63">
        <v>1</v>
      </c>
      <c r="V21" s="27"/>
      <c r="W21" s="63">
        <v>0</v>
      </c>
      <c r="X21" s="27"/>
      <c r="Y21" s="63">
        <v>1</v>
      </c>
      <c r="Z21" s="27"/>
      <c r="AA21" s="63">
        <v>0</v>
      </c>
      <c r="AB21" s="27"/>
      <c r="AC21" s="63">
        <v>1</v>
      </c>
      <c r="AD21" s="27"/>
      <c r="AE21" s="63">
        <v>1</v>
      </c>
      <c r="AF21" s="27"/>
      <c r="AG21" s="63">
        <v>0</v>
      </c>
      <c r="AH21" s="27"/>
      <c r="AI21" s="63">
        <v>1</v>
      </c>
      <c r="AJ21" s="27"/>
      <c r="AK21" s="63">
        <v>1</v>
      </c>
      <c r="AL21" s="27"/>
      <c r="AM21" s="63">
        <v>1</v>
      </c>
      <c r="AN21" s="27"/>
      <c r="AO21" s="63">
        <v>1</v>
      </c>
      <c r="AP21" s="27"/>
      <c r="AQ21" s="63">
        <v>1</v>
      </c>
      <c r="AR21" s="27"/>
      <c r="AS21" s="63">
        <v>0</v>
      </c>
      <c r="AT21" s="27"/>
      <c r="AU21" s="63">
        <v>0</v>
      </c>
      <c r="AV21" s="27"/>
      <c r="AW21" s="63">
        <v>1</v>
      </c>
      <c r="AX21" s="27"/>
      <c r="AY21" s="63">
        <v>0</v>
      </c>
      <c r="AZ21" s="27"/>
      <c r="BA21" s="63">
        <v>1</v>
      </c>
      <c r="BB21" s="27"/>
      <c r="BC21" s="63">
        <v>1</v>
      </c>
      <c r="BD21" s="27"/>
      <c r="BE21" s="63">
        <v>1</v>
      </c>
    </row>
    <row r="22" spans="1:57" s="18" customFormat="1" x14ac:dyDescent="0.25">
      <c r="A22" s="28" t="s">
        <v>60</v>
      </c>
      <c r="B22" s="29" t="s">
        <v>61</v>
      </c>
      <c r="C22" s="35">
        <f>C19+C17+C15+C9</f>
        <v>100</v>
      </c>
      <c r="D22" s="67">
        <f>D19+D17+D15+D9</f>
        <v>3.6</v>
      </c>
      <c r="E22" s="35">
        <f>E19+E17+E15+E9</f>
        <v>9</v>
      </c>
      <c r="F22" s="67">
        <f>F19+F17+F15+F9</f>
        <v>2.6</v>
      </c>
      <c r="G22" s="28">
        <f>G19+G17+G15+G9</f>
        <v>6.5</v>
      </c>
      <c r="H22" s="28">
        <f t="shared" ref="H22:Q22" si="51">H19+H17+H15+H9</f>
        <v>2.64</v>
      </c>
      <c r="I22" s="28">
        <f t="shared" si="51"/>
        <v>7.4</v>
      </c>
      <c r="J22" s="28">
        <f t="shared" si="51"/>
        <v>2.64</v>
      </c>
      <c r="K22" s="28">
        <f t="shared" si="51"/>
        <v>7.4</v>
      </c>
      <c r="L22" s="28">
        <f t="shared" si="51"/>
        <v>3</v>
      </c>
      <c r="M22" s="28">
        <f t="shared" si="51"/>
        <v>8</v>
      </c>
      <c r="N22" s="28">
        <f t="shared" si="51"/>
        <v>2.62</v>
      </c>
      <c r="O22" s="28">
        <f t="shared" si="51"/>
        <v>6.7</v>
      </c>
      <c r="P22" s="28">
        <f t="shared" si="51"/>
        <v>2.4</v>
      </c>
      <c r="Q22" s="28">
        <f t="shared" si="51"/>
        <v>7</v>
      </c>
      <c r="R22" s="70">
        <f t="shared" ref="R22:BE22" si="52">R19+R17+R15+R9</f>
        <v>2.4</v>
      </c>
      <c r="S22" s="28">
        <f t="shared" si="52"/>
        <v>7</v>
      </c>
      <c r="T22" s="80">
        <f t="shared" si="52"/>
        <v>2.52</v>
      </c>
      <c r="U22" s="28">
        <f t="shared" si="52"/>
        <v>7.2</v>
      </c>
      <c r="V22" s="80">
        <f t="shared" si="52"/>
        <v>2.62</v>
      </c>
      <c r="W22" s="28">
        <f t="shared" si="52"/>
        <v>6.7</v>
      </c>
      <c r="X22" s="80">
        <f t="shared" si="52"/>
        <v>3</v>
      </c>
      <c r="Y22" s="28">
        <f t="shared" si="52"/>
        <v>8</v>
      </c>
      <c r="Z22" s="80">
        <f t="shared" si="52"/>
        <v>2.2000000000000002</v>
      </c>
      <c r="AA22" s="28">
        <f t="shared" si="52"/>
        <v>6</v>
      </c>
      <c r="AB22" s="80">
        <f t="shared" si="52"/>
        <v>3</v>
      </c>
      <c r="AC22" s="28">
        <f t="shared" si="52"/>
        <v>8</v>
      </c>
      <c r="AD22" s="80">
        <f t="shared" si="52"/>
        <v>2.8200000000000003</v>
      </c>
      <c r="AE22" s="28">
        <f t="shared" si="52"/>
        <v>7.7</v>
      </c>
      <c r="AF22" s="80">
        <f t="shared" si="52"/>
        <v>2.4200000000000004</v>
      </c>
      <c r="AG22" s="28">
        <f t="shared" si="52"/>
        <v>5.7</v>
      </c>
      <c r="AH22" s="80">
        <f t="shared" si="52"/>
        <v>2.8200000000000003</v>
      </c>
      <c r="AI22" s="28">
        <f t="shared" si="52"/>
        <v>7.7</v>
      </c>
      <c r="AJ22" s="80">
        <f t="shared" si="52"/>
        <v>2.8200000000000003</v>
      </c>
      <c r="AK22" s="28">
        <f t="shared" si="52"/>
        <v>7.7</v>
      </c>
      <c r="AL22" s="80">
        <f t="shared" si="52"/>
        <v>3</v>
      </c>
      <c r="AM22" s="28">
        <f t="shared" si="52"/>
        <v>8</v>
      </c>
      <c r="AN22" s="80">
        <f t="shared" si="52"/>
        <v>3</v>
      </c>
      <c r="AO22" s="28">
        <f t="shared" si="52"/>
        <v>8</v>
      </c>
      <c r="AP22" s="80">
        <f t="shared" si="52"/>
        <v>2.04</v>
      </c>
      <c r="AQ22" s="28">
        <f t="shared" si="52"/>
        <v>6.4</v>
      </c>
      <c r="AR22" s="80">
        <f t="shared" si="52"/>
        <v>2.02</v>
      </c>
      <c r="AS22" s="28">
        <f t="shared" si="52"/>
        <v>5.7</v>
      </c>
      <c r="AT22" s="80">
        <f t="shared" si="52"/>
        <v>2.44</v>
      </c>
      <c r="AU22" s="28">
        <f t="shared" si="52"/>
        <v>6.4</v>
      </c>
      <c r="AV22" s="80">
        <f t="shared" si="52"/>
        <v>2.58</v>
      </c>
      <c r="AW22" s="28">
        <f t="shared" si="52"/>
        <v>7.3</v>
      </c>
      <c r="AX22" s="80">
        <f t="shared" si="52"/>
        <v>2.72</v>
      </c>
      <c r="AY22" s="28">
        <f t="shared" si="52"/>
        <v>6.2</v>
      </c>
      <c r="AZ22" s="80">
        <f t="shared" si="52"/>
        <v>2.4</v>
      </c>
      <c r="BA22" s="28">
        <f t="shared" si="52"/>
        <v>7</v>
      </c>
      <c r="BB22" s="80">
        <f t="shared" si="52"/>
        <v>2.8200000000000003</v>
      </c>
      <c r="BC22" s="28">
        <f t="shared" si="52"/>
        <v>7.7</v>
      </c>
      <c r="BD22" s="80">
        <f t="shared" si="52"/>
        <v>2.2200000000000002</v>
      </c>
      <c r="BE22" s="28">
        <f t="shared" si="52"/>
        <v>6.7</v>
      </c>
    </row>
    <row r="23" spans="1:57" x14ac:dyDescent="0.25">
      <c r="A23" s="30" t="s">
        <v>62</v>
      </c>
      <c r="B23" s="29" t="s">
        <v>63</v>
      </c>
      <c r="C23" s="82"/>
      <c r="D23" s="120"/>
      <c r="E23" s="120"/>
      <c r="F23" s="119">
        <f>F22/F28</f>
        <v>0.72222222222222221</v>
      </c>
      <c r="G23" s="119"/>
      <c r="H23" s="114">
        <f>H22/F28</f>
        <v>0.73333333333333339</v>
      </c>
      <c r="I23" s="115"/>
      <c r="J23" s="114">
        <f>J22/F28</f>
        <v>0.73333333333333339</v>
      </c>
      <c r="K23" s="115"/>
      <c r="L23" s="114">
        <f>L22/F28</f>
        <v>0.83333333333333326</v>
      </c>
      <c r="M23" s="115"/>
      <c r="N23" s="114">
        <f>N22/F28</f>
        <v>0.72777777777777775</v>
      </c>
      <c r="O23" s="115"/>
      <c r="P23" s="114">
        <f>P22/F28</f>
        <v>0.66666666666666663</v>
      </c>
      <c r="Q23" s="115"/>
      <c r="R23" s="114">
        <f>R22/F28</f>
        <v>0.66666666666666663</v>
      </c>
      <c r="S23" s="115"/>
      <c r="T23" s="114">
        <f>T22/F28</f>
        <v>0.7</v>
      </c>
      <c r="U23" s="115"/>
      <c r="V23" s="114">
        <f>V22/F28</f>
        <v>0.72777777777777775</v>
      </c>
      <c r="W23" s="115"/>
      <c r="X23" s="114">
        <f>X22/F28</f>
        <v>0.83333333333333326</v>
      </c>
      <c r="Y23" s="115"/>
      <c r="Z23" s="114">
        <f>Z22/F28</f>
        <v>0.61111111111111116</v>
      </c>
      <c r="AA23" s="115"/>
      <c r="AB23" s="114">
        <f>AB22/F28</f>
        <v>0.83333333333333326</v>
      </c>
      <c r="AC23" s="115"/>
      <c r="AD23" s="114">
        <f>AD22/F28</f>
        <v>0.78333333333333344</v>
      </c>
      <c r="AE23" s="115"/>
      <c r="AF23" s="114">
        <f>AF22/F28</f>
        <v>0.67222222222222228</v>
      </c>
      <c r="AG23" s="115"/>
      <c r="AH23" s="114">
        <f>AH22/F28</f>
        <v>0.78333333333333344</v>
      </c>
      <c r="AI23" s="115"/>
      <c r="AJ23" s="114">
        <f>AJ22/F28</f>
        <v>0.78333333333333344</v>
      </c>
      <c r="AK23" s="115"/>
      <c r="AL23" s="114">
        <f>AL22/F28</f>
        <v>0.83333333333333326</v>
      </c>
      <c r="AM23" s="115"/>
      <c r="AN23" s="114">
        <f>AN22/F28</f>
        <v>0.83333333333333326</v>
      </c>
      <c r="AO23" s="115"/>
      <c r="AP23" s="114">
        <f>AP22/F28</f>
        <v>0.56666666666666665</v>
      </c>
      <c r="AQ23" s="115"/>
      <c r="AR23" s="114">
        <f>AR22/F28</f>
        <v>0.56111111111111112</v>
      </c>
      <c r="AS23" s="115"/>
      <c r="AT23" s="114">
        <f>AT22/F28</f>
        <v>0.6777777777777777</v>
      </c>
      <c r="AU23" s="115"/>
      <c r="AV23" s="114">
        <f>AV22/F28</f>
        <v>0.71666666666666667</v>
      </c>
      <c r="AW23" s="115"/>
      <c r="AX23" s="114">
        <f>AX22/F28</f>
        <v>0.75555555555555554</v>
      </c>
      <c r="AY23" s="115"/>
      <c r="AZ23" s="114">
        <f>AZ22/F28</f>
        <v>0.66666666666666663</v>
      </c>
      <c r="BA23" s="115"/>
      <c r="BB23" s="114">
        <f>BB22/F28</f>
        <v>0.78333333333333344</v>
      </c>
      <c r="BC23" s="115"/>
      <c r="BD23" s="114">
        <f>BD22/F28</f>
        <v>0.6166666666666667</v>
      </c>
      <c r="BE23" s="115"/>
    </row>
    <row r="24" spans="1:57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</row>
    <row r="26" spans="1:57" x14ac:dyDescent="0.25">
      <c r="B26" s="32"/>
      <c r="H26" s="50"/>
      <c r="I26" s="50"/>
      <c r="J26" s="50"/>
    </row>
    <row r="27" spans="1:57" x14ac:dyDescent="0.25">
      <c r="B27" s="92" t="s">
        <v>93</v>
      </c>
    </row>
    <row r="28" spans="1:57" x14ac:dyDescent="0.25">
      <c r="D28" s="50"/>
      <c r="F28" s="50">
        <f>(60*5/100)+(10*1/100)+(10*1/100)+(20*2/100)</f>
        <v>3.6</v>
      </c>
    </row>
    <row r="29" spans="1:57" x14ac:dyDescent="0.25">
      <c r="B29" s="21"/>
    </row>
    <row r="30" spans="1:57" x14ac:dyDescent="0.25">
      <c r="B30" s="21"/>
    </row>
  </sheetData>
  <mergeCells count="67">
    <mergeCell ref="N23:O23"/>
    <mergeCell ref="P7:Q7"/>
    <mergeCell ref="H23:I23"/>
    <mergeCell ref="J23:K23"/>
    <mergeCell ref="F10:F14"/>
    <mergeCell ref="F7:G7"/>
    <mergeCell ref="H7:I7"/>
    <mergeCell ref="J7:K7"/>
    <mergeCell ref="A2:N2"/>
    <mergeCell ref="A3:N3"/>
    <mergeCell ref="A4:N4"/>
    <mergeCell ref="A5:N5"/>
    <mergeCell ref="A7:A8"/>
    <mergeCell ref="B7:B8"/>
    <mergeCell ref="C7:C8"/>
    <mergeCell ref="D7:D8"/>
    <mergeCell ref="E7:E8"/>
    <mergeCell ref="C20:C21"/>
    <mergeCell ref="F20:F21"/>
    <mergeCell ref="T7:U7"/>
    <mergeCell ref="T23:U23"/>
    <mergeCell ref="V7:W7"/>
    <mergeCell ref="V23:W23"/>
    <mergeCell ref="R7:S7"/>
    <mergeCell ref="P23:Q23"/>
    <mergeCell ref="R23:S23"/>
    <mergeCell ref="D20:D21"/>
    <mergeCell ref="E20:E21"/>
    <mergeCell ref="F23:G23"/>
    <mergeCell ref="D23:E23"/>
    <mergeCell ref="L7:M7"/>
    <mergeCell ref="N7:O7"/>
    <mergeCell ref="L23:M23"/>
    <mergeCell ref="X7:Y7"/>
    <mergeCell ref="X23:Y23"/>
    <mergeCell ref="Z7:AA7"/>
    <mergeCell ref="Z23:AA23"/>
    <mergeCell ref="AB7:AC7"/>
    <mergeCell ref="AB23:AC23"/>
    <mergeCell ref="AD7:AE7"/>
    <mergeCell ref="AD23:AE23"/>
    <mergeCell ref="AF7:AG7"/>
    <mergeCell ref="AF23:AG23"/>
    <mergeCell ref="AH7:AI7"/>
    <mergeCell ref="AH23:AI23"/>
    <mergeCell ref="AJ7:AK7"/>
    <mergeCell ref="AJ23:AK23"/>
    <mergeCell ref="AL7:AM7"/>
    <mergeCell ref="AL23:AM23"/>
    <mergeCell ref="AN7:AO7"/>
    <mergeCell ref="AN23:AO23"/>
    <mergeCell ref="AP7:AQ7"/>
    <mergeCell ref="AP23:AQ23"/>
    <mergeCell ref="AR7:AS7"/>
    <mergeCell ref="AR23:AS23"/>
    <mergeCell ref="AT7:AU7"/>
    <mergeCell ref="AT23:AU23"/>
    <mergeCell ref="BB7:BC7"/>
    <mergeCell ref="BB23:BC23"/>
    <mergeCell ref="BD7:BE7"/>
    <mergeCell ref="BD23:BE23"/>
    <mergeCell ref="AV7:AW7"/>
    <mergeCell ref="AV23:AW23"/>
    <mergeCell ref="AX7:AY7"/>
    <mergeCell ref="AX23:AY23"/>
    <mergeCell ref="AZ7:BA7"/>
    <mergeCell ref="AZ23:BA23"/>
  </mergeCells>
  <pageMargins left="0.11811023622047245" right="0.11811023622047245" top="0.15748031496062992" bottom="0.19685039370078741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показателей МРУО</vt:lpstr>
      <vt:lpstr>Отчет МРУО</vt:lpstr>
      <vt:lpstr>'Расчет показателей МРУО'!Заголовки_для_печати</vt:lpstr>
      <vt:lpstr>'Отчет МРУО'!Область_печати</vt:lpstr>
      <vt:lpstr>'Расчет показателей МРУО'!Область_печати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2021-05-31T02:01:40Z</dcterms:modified>
</cp:coreProperties>
</file>