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5200" windowHeight="10980"/>
  </bookViews>
  <sheets>
    <sheet name="СВОД РАСЧЕТ ПОКАЗАТЕЛЕЙ" sheetId="1" r:id="rId1"/>
    <sheet name="Лист1" sheetId="2" r:id="rId2"/>
  </sheets>
  <definedNames>
    <definedName name="_xlnm.Print_Titles" localSheetId="0">'СВОД РАСЧЕТ ПОКАЗАТЕЛЕЙ'!$A:$A</definedName>
    <definedName name="_xlnm.Print_Area" localSheetId="0">'СВОД РАСЧЕТ ПОКАЗАТЕЛЕЙ'!$A$1:$AX$51</definedName>
  </definedNames>
  <calcPr calcId="162913"/>
</workbook>
</file>

<file path=xl/calcChain.xml><?xml version="1.0" encoding="utf-8"?>
<calcChain xmlns="http://schemas.openxmlformats.org/spreadsheetml/2006/main">
  <c r="AV32" i="1" l="1"/>
  <c r="B11" i="1" l="1"/>
  <c r="B12" i="1"/>
  <c r="B13" i="1"/>
  <c r="B14" i="1"/>
  <c r="B15" i="1"/>
  <c r="D13" i="1" l="1"/>
  <c r="D14" i="1"/>
  <c r="D17" i="1"/>
  <c r="D16" i="1" s="1"/>
  <c r="D19" i="1" l="1"/>
  <c r="B24" i="1" l="1"/>
  <c r="B21" i="1"/>
  <c r="B57" i="1"/>
  <c r="B56" i="1"/>
  <c r="B55" i="1"/>
  <c r="B54" i="1"/>
  <c r="B53" i="1"/>
  <c r="B52" i="1"/>
  <c r="B51" i="1"/>
  <c r="B50" i="1"/>
  <c r="B49" i="1"/>
  <c r="B48" i="1"/>
  <c r="B47" i="1"/>
  <c r="B46" i="1"/>
  <c r="B45" i="1"/>
  <c r="B44" i="1"/>
  <c r="B43" i="1"/>
  <c r="B42" i="1"/>
  <c r="B41" i="1"/>
  <c r="B40" i="1"/>
  <c r="B39" i="1"/>
  <c r="B38" i="1"/>
  <c r="B37" i="1"/>
  <c r="B36" i="1"/>
  <c r="B35" i="1"/>
  <c r="B34" i="1"/>
  <c r="B33" i="1"/>
  <c r="B31" i="1"/>
  <c r="B30" i="1"/>
  <c r="B29" i="1"/>
  <c r="B28" i="1"/>
  <c r="B27" i="1"/>
  <c r="B26" i="1"/>
  <c r="B25" i="1"/>
  <c r="B22" i="1"/>
  <c r="B19" i="1"/>
  <c r="B17" i="1"/>
  <c r="B10" i="1" l="1"/>
  <c r="H18" i="1" l="1"/>
  <c r="F18" i="1"/>
  <c r="C18" i="1"/>
  <c r="E18" i="1"/>
  <c r="G18" i="1"/>
  <c r="I18" i="1"/>
  <c r="D18" i="1"/>
  <c r="G16" i="1"/>
  <c r="E16" i="1"/>
  <c r="B18" i="1"/>
  <c r="H16" i="1"/>
  <c r="F16" i="1"/>
  <c r="AV10" i="1" l="1"/>
  <c r="AV18" i="1" l="1"/>
  <c r="T23" i="1"/>
  <c r="T20" i="1"/>
  <c r="T10" i="1"/>
  <c r="J32" i="1" l="1"/>
  <c r="J20" i="1"/>
  <c r="J10" i="1"/>
  <c r="B32" i="1" l="1"/>
  <c r="B16" i="1"/>
  <c r="AV19" i="1" l="1"/>
  <c r="AV17" i="1"/>
  <c r="AV16" i="1"/>
  <c r="AV20" i="1"/>
  <c r="AV21" i="1"/>
  <c r="AV22" i="1"/>
  <c r="AV23" i="1"/>
  <c r="B20" i="1" l="1"/>
  <c r="B23" i="1"/>
  <c r="AV24" i="1" l="1"/>
  <c r="AV25" i="1"/>
  <c r="AV26" i="1"/>
  <c r="AV27" i="1"/>
  <c r="AV28" i="1"/>
  <c r="AV29" i="1"/>
  <c r="AV30" i="1"/>
  <c r="AV31" i="1"/>
  <c r="AV33" i="1"/>
  <c r="AV34" i="1"/>
  <c r="AV35" i="1"/>
  <c r="AV36" i="1"/>
  <c r="AV37" i="1"/>
  <c r="AV38" i="1"/>
  <c r="AV39" i="1"/>
  <c r="AV40" i="1"/>
  <c r="AV41" i="1"/>
  <c r="AV42" i="1"/>
  <c r="AV43" i="1"/>
  <c r="AV44" i="1"/>
  <c r="AV45" i="1"/>
  <c r="AV46" i="1"/>
  <c r="AV47" i="1"/>
  <c r="AV48" i="1"/>
  <c r="AV49" i="1"/>
  <c r="AV50" i="1"/>
  <c r="AV51" i="1"/>
  <c r="AV52" i="1"/>
  <c r="AV53" i="1"/>
  <c r="AV54" i="1"/>
  <c r="AV55" i="1"/>
  <c r="AV56" i="1"/>
  <c r="AV57" i="1"/>
  <c r="AV11" i="1"/>
  <c r="AV12" i="1"/>
  <c r="AV13" i="1"/>
  <c r="AV14" i="1"/>
  <c r="AV15" i="1"/>
  <c r="T32" i="1" l="1"/>
  <c r="AV58" i="1" l="1"/>
</calcChain>
</file>

<file path=xl/sharedStrings.xml><?xml version="1.0" encoding="utf-8"?>
<sst xmlns="http://schemas.openxmlformats.org/spreadsheetml/2006/main" count="248" uniqueCount="139">
  <si>
    <t>МБУ ДО "ДШИ" г.Мирного</t>
  </si>
  <si>
    <t>МБУ ДО "ДШИ" г.Удачного</t>
  </si>
  <si>
    <t>МБУ ДО "ДШИ" п. Айхал</t>
  </si>
  <si>
    <t>МБУ ДО "ДШИ" п. Чернышевский</t>
  </si>
  <si>
    <t>МБУ ДО "ДШИ" п.Светлый</t>
  </si>
  <si>
    <t>МБУ ДО "ДШИ" с.Арылах</t>
  </si>
  <si>
    <t>МКУ "МИБС"</t>
  </si>
  <si>
    <t>МКОУ СОШ №9</t>
  </si>
  <si>
    <t>МКУ "МРУО"</t>
  </si>
  <si>
    <t>МКОУ СОШ- ЭКЦ № 10</t>
  </si>
  <si>
    <t>МКОУ "Школа-интернат"</t>
  </si>
  <si>
    <t>МКОУ "СОШ 15"</t>
  </si>
  <si>
    <t>МКОУ "СОШ №6" с.Арылах</t>
  </si>
  <si>
    <t>МБУ ДО "ЦДОД" г. Удачный</t>
  </si>
  <si>
    <t>МБОУ  "Политехнический лицей"</t>
  </si>
  <si>
    <t>МБОУ "СОШ №7"</t>
  </si>
  <si>
    <t>МБОУ "СОШ №5"</t>
  </si>
  <si>
    <t>МБОУ  "СОШ № 3"</t>
  </si>
  <si>
    <t>МАОУ "СОШ №8"</t>
  </si>
  <si>
    <t xml:space="preserve">единица измерения </t>
  </si>
  <si>
    <t>МКУ МУК</t>
  </si>
  <si>
    <t>МОБУ ДО "ЦПМСС "Доверие"</t>
  </si>
  <si>
    <t>балл</t>
  </si>
  <si>
    <t>оценка показателя Р19</t>
  </si>
  <si>
    <t>оценка показателя Р22</t>
  </si>
  <si>
    <t>оценка показателя Р23</t>
  </si>
  <si>
    <t>оценка показателя Р1</t>
  </si>
  <si>
    <t>оценка показателя Р2</t>
  </si>
  <si>
    <t>оценка показателя Р3</t>
  </si>
  <si>
    <t>оценка показателя Р4</t>
  </si>
  <si>
    <t>оценка показателя Р5</t>
  </si>
  <si>
    <t>оценка показателя Р6</t>
  </si>
  <si>
    <t>оценка показателя Р7</t>
  </si>
  <si>
    <t>оценка показателя Р8</t>
  </si>
  <si>
    <t>оценка показателя Р9</t>
  </si>
  <si>
    <t>оценка показателя Р10</t>
  </si>
  <si>
    <t>оценка показателя Р12</t>
  </si>
  <si>
    <t>оценка показателя Р11</t>
  </si>
  <si>
    <t>оценка показателя Р13</t>
  </si>
  <si>
    <t>оценка показателя Р16</t>
  </si>
  <si>
    <t>оценка показателя Р17</t>
  </si>
  <si>
    <t>оценка показателя Р18</t>
  </si>
  <si>
    <t>оценка показателя Р20</t>
  </si>
  <si>
    <t>оценка показателя Р21</t>
  </si>
  <si>
    <t>6. РЕЗУЛЬТАТ</t>
  </si>
  <si>
    <t xml:space="preserve">Итоговая оценка </t>
  </si>
  <si>
    <t>Рейтинг</t>
  </si>
  <si>
    <t>1. ПОКАЗАТЕЛТИ КАЧЕСТВА УПРАВЛЕНИЯ РАСХОДАМИ</t>
  </si>
  <si>
    <t>Качественное планирование расходов (Р1)</t>
  </si>
  <si>
    <t>Равномерность расходов (Р2)</t>
  </si>
  <si>
    <t>Изменение дебиторской задолженности ГРБС и муниципальных подведомственных ему учреждений в отчетном периоде по сравнению с началом года (Р4)</t>
  </si>
  <si>
    <t>Качество исполнения предписаний Контрольно-счетной палаты МО «Мирнинский район» (Р5)</t>
  </si>
  <si>
    <t>Нарушение правил, условий предоставления бюджетных инвестиций, субсидий (Р6)</t>
  </si>
  <si>
    <t>Нарушение правил, условий предоставления субсидий (Р7)</t>
  </si>
  <si>
    <t>Нарушение порядка формирования и (или) финансового обеспечения муниципального задания (Р8)</t>
  </si>
  <si>
    <t>Невыполнение муниципального задания учреждениями, подведомственными ГРБС (Р9)</t>
  </si>
  <si>
    <t>Доля муниципальных бюджетных и автономных учреждений, в отношении которых ГРБС выполняют функции и полномочия учредителя, выполнивших муниципальное задание в отчетном финансовом году (Р10)</t>
  </si>
  <si>
    <t>Наличие правовых актов, обеспечивающих проведение мониторинга  качества финансового менеджмента подведомственных  учреждений (Р11)</t>
  </si>
  <si>
    <t>Качество правовой базы ГРБС по порядку формирования и финансового обеспечения выполнения муниципального задания на оказание муниципальных услуг (выполнение работ) (Р12)</t>
  </si>
  <si>
    <t>Равномерность предоставления субсидий бюджетным и автономным учреждениям на финансовое обеспечение муниципального задания на оказание муниципальных услуг (выполнение работ) (Р13)</t>
  </si>
  <si>
    <t>Расчет показателя</t>
  </si>
  <si>
    <t>2.  ПОКАЗАТЕЛИ КАЧЕСТВА УПРАВЛЕНИЯ ДОХОДАМИ БЮДЖЕТА</t>
  </si>
  <si>
    <t>Качество планирования поступлений неналоговых доходов</t>
  </si>
  <si>
    <t>Достоверность бюджетной отчетности</t>
  </si>
  <si>
    <t>Нарушение порядка формирования и представления сводной, консолидированной бюджетной отчетности</t>
  </si>
  <si>
    <t>Нарушение порядка проведения инвентаризации активов и обязательств</t>
  </si>
  <si>
    <t>Доля недостач и хищений денежных средств и материальных ценностей</t>
  </si>
  <si>
    <t>4. КАЧЕСТВО УПРАВЛЕНИЯ АКТИВАМИ</t>
  </si>
  <si>
    <t>5. ПОКАЗАТЕЛИ КАЧЕСТВА ОРГАНИЗАЦИИ И ОСУЩЕСТВЛЕНИЯ ФИНАНСОВОГО КОНТРОЛЯ</t>
  </si>
  <si>
    <t>Неправомерное использование бюджетных средств, в том числе нецелевое использование бюджетных средств</t>
  </si>
  <si>
    <t>Несоблюдение правил планирования закупок</t>
  </si>
  <si>
    <t>Нарушение порядка составления, утверждения и ведения бюджетных смет</t>
  </si>
  <si>
    <t>Нарушение сроков доведения бюджетных ассигнований и (или) лимитов бюджетных обязательств бюджета</t>
  </si>
  <si>
    <t>Р1=КР*(1-G/B)</t>
  </si>
  <si>
    <t>Р2=(Е-Еср)*100/Еср</t>
  </si>
  <si>
    <t>P3=Е/Д*100</t>
  </si>
  <si>
    <t>Р4=100*(Д.з. отч.п/Д.з. н.г.)</t>
  </si>
  <si>
    <t>P6=Oi</t>
  </si>
  <si>
    <t>P7=Qsub</t>
  </si>
  <si>
    <t>P8=Qgz</t>
  </si>
  <si>
    <t>P9=Qngz</t>
  </si>
  <si>
    <t>P10=100*St/S</t>
  </si>
  <si>
    <t>P11= 1     P11=0</t>
  </si>
  <si>
    <t>оценка показателя Р14</t>
  </si>
  <si>
    <t>P12= 1     P12=0</t>
  </si>
  <si>
    <t>P13=P[Bgz-Egz]/Bgz</t>
  </si>
  <si>
    <t>P14=Sv/E</t>
  </si>
  <si>
    <t>МКУ "Коммунально строительное управление"</t>
  </si>
  <si>
    <t>МКУ "Управление сельского хозяйства"</t>
  </si>
  <si>
    <t>МКУ "ЕДДС"</t>
  </si>
  <si>
    <t>МАУ "ЦРПиЗ"</t>
  </si>
  <si>
    <t>МКУ "Комитет имущественных отношений"</t>
  </si>
  <si>
    <t>Наличие</t>
  </si>
  <si>
    <t>Утверждены</t>
  </si>
  <si>
    <t>МБУ "УЭСАЗ "Вилюй"</t>
  </si>
  <si>
    <t>МАОУ  "СОШ № 12"</t>
  </si>
  <si>
    <t>МАОУ "СОШ №19 ИМ. Л.А.ПОПУГАЕВОЙ"</t>
  </si>
  <si>
    <t>МАОУ "СОШ № 24"</t>
  </si>
  <si>
    <t>0</t>
  </si>
  <si>
    <t>отсутствие</t>
  </si>
  <si>
    <t>1</t>
  </si>
  <si>
    <t>-</t>
  </si>
  <si>
    <t>Р15 = (R/Rn) * 100</t>
  </si>
  <si>
    <t>оценка показателя Р15</t>
  </si>
  <si>
    <t>Р16 наличие/отсутствие</t>
  </si>
  <si>
    <t>P17= Qot,</t>
  </si>
  <si>
    <t>P18= Qi,</t>
  </si>
  <si>
    <t xml:space="preserve">      Р19= 100 T / (O + M),</t>
  </si>
  <si>
    <t>P20= Qz,</t>
  </si>
  <si>
    <t>P21 = Qz,</t>
  </si>
  <si>
    <t>P22= Qs,</t>
  </si>
  <si>
    <t>P23 = Qb,</t>
  </si>
  <si>
    <t>МБОУ "СОШ № 1"</t>
  </si>
  <si>
    <t>МАОУ "СОШ №26"</t>
  </si>
  <si>
    <t>МАОУ "СОШ №23 им.Г.А.Кадзова"</t>
  </si>
  <si>
    <t>МАОУ "СОШ № 4"</t>
  </si>
  <si>
    <t>МУ ДО "ЦДО "НАДЕЖДА"</t>
  </si>
  <si>
    <t>МАУ ДО "ЦДО" г.Мирный</t>
  </si>
  <si>
    <t>Р5= Qp/Qn</t>
  </si>
  <si>
    <t>Филиал МАУ ДО "ЦДО" г. Мирный в п. Чернышевский</t>
  </si>
  <si>
    <t>Филиал МАУ ДО "ЦДО" г. Мирный в п. Светлый</t>
  </si>
  <si>
    <t>Мирнинский районный Совет депутатов</t>
  </si>
  <si>
    <t>Контрольно-счетная Палата</t>
  </si>
  <si>
    <t>3. ПОКАЗАТЕЛИ
КАЧЕСТВА ВЕДЕНИЯ УЧЕТА И СОСТАВЛЕНИЯ БЮДЖЕТНОЙ ОТЧЕТНОСТИ</t>
  </si>
  <si>
    <t>ГРБС 4 МКУ  "Комитет имущественных отношений"</t>
  </si>
  <si>
    <t>ГРБС 5 МКУ "Межпоселенческое управление культуры"</t>
  </si>
  <si>
    <t>ГРБС 6 МКУ "Мирнинское районное управление образования"</t>
  </si>
  <si>
    <t>ГРБС 2 Мирнинский районный Совет депутатов</t>
  </si>
  <si>
    <t>ГРБС 3 Контрольно-счетная Палата</t>
  </si>
  <si>
    <t>Исполнение судебных актов Российской Федерации и мировых соглашений по возмещению вреда, причиненного в результате незаконных действий (бездействия) главного распорядителя бюджетных средств либо его должностных лиц (Р14)</t>
  </si>
  <si>
    <t>Доля неисполненных на конец отчетного года бюджетных ассигнований казенных учреждений (Р3)</t>
  </si>
  <si>
    <t>МАУ ДО "СПОРТИВНАЯ ШКОЛА"</t>
  </si>
  <si>
    <t>высокий</t>
  </si>
  <si>
    <t>хороший</t>
  </si>
  <si>
    <t>удовл</t>
  </si>
  <si>
    <t>удов</t>
  </si>
  <si>
    <t>ГРБС 1 Администрация МР "Мирнинский район" РС (Я)</t>
  </si>
  <si>
    <t>Администрация МР "Мирнинский район" РС (Я)</t>
  </si>
  <si>
    <t>ПОКАЗАТЕЛИ ДЛЯ ОЦЕНКИ КАЧЕСТВА ФИНАНСОВОГО МЕНЕДЖМЕНТА ГЛАВНЫХ РАСПОРЯДИТЕЛЕЙ СРЕДСТВ БЮДЖЕТА МР "МИРНИНСКИЙ РАЙОН" РС (Я) за 2024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</si>
</sst>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\ _₽_-;\-* #,##0.00\ _₽_-;_-* &quot;-&quot;??\ _₽_-;_-@_-"/>
    <numFmt numFmtId="164" formatCode="_-* #,##0.00_р_._-;\-* #,##0.00_р_._-;_-* &quot;-&quot;??_р_._-;_-@_-"/>
    <numFmt numFmtId="165" formatCode="0_ ;\-0\ 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4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164" fontId="2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</cellStyleXfs>
  <cellXfs count="71">
    <xf numFmtId="0" fontId="0" fillId="0" borderId="0" xfId="0"/>
    <xf numFmtId="2" fontId="0" fillId="0" borderId="0" xfId="0" applyNumberFormat="1"/>
    <xf numFmtId="0" fontId="3" fillId="0" borderId="0" xfId="0" applyFont="1" applyFill="1" applyAlignment="1">
      <alignment vertical="center" wrapText="1"/>
    </xf>
    <xf numFmtId="0" fontId="3" fillId="0" borderId="0" xfId="0" applyFont="1" applyFill="1" applyAlignment="1">
      <alignment horizontal="center" vertical="center" wrapText="1"/>
    </xf>
    <xf numFmtId="0" fontId="4" fillId="0" borderId="0" xfId="0" applyFont="1" applyFill="1"/>
    <xf numFmtId="0" fontId="3" fillId="0" borderId="0" xfId="0" applyFont="1" applyFill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0" xfId="0" applyFont="1" applyFill="1" applyAlignment="1">
      <alignment horizont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/>
    </xf>
    <xf numFmtId="4" fontId="3" fillId="0" borderId="1" xfId="0" applyNumberFormat="1" applyFont="1" applyFill="1" applyBorder="1" applyAlignment="1">
      <alignment vertical="center" wrapText="1"/>
    </xf>
    <xf numFmtId="0" fontId="4" fillId="0" borderId="0" xfId="0" applyFont="1" applyFill="1" applyAlignment="1">
      <alignment horizontal="center"/>
    </xf>
    <xf numFmtId="0" fontId="4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3" fontId="4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3" fontId="6" fillId="0" borderId="1" xfId="0" applyNumberFormat="1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/>
    </xf>
    <xf numFmtId="2" fontId="3" fillId="0" borderId="1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3" fontId="4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165" fontId="4" fillId="0" borderId="1" xfId="1" applyNumberFormat="1" applyFont="1" applyFill="1" applyBorder="1" applyAlignment="1">
      <alignment horizontal="center" vertical="center"/>
    </xf>
    <xf numFmtId="2" fontId="6" fillId="0" borderId="1" xfId="0" applyNumberFormat="1" applyFont="1" applyFill="1" applyBorder="1" applyAlignment="1">
      <alignment horizontal="center" vertical="center"/>
    </xf>
    <xf numFmtId="4" fontId="4" fillId="0" borderId="1" xfId="0" applyNumberFormat="1" applyFont="1" applyFill="1" applyBorder="1" applyAlignment="1">
      <alignment horizontal="center" vertical="center"/>
    </xf>
    <xf numFmtId="4" fontId="4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vertical="center" wrapText="1"/>
    </xf>
    <xf numFmtId="164" fontId="4" fillId="0" borderId="0" xfId="1" applyFont="1" applyFill="1" applyAlignment="1">
      <alignment horizontal="center" vertical="center"/>
    </xf>
    <xf numFmtId="164" fontId="4" fillId="0" borderId="0" xfId="1" applyFont="1" applyFill="1"/>
    <xf numFmtId="0" fontId="3" fillId="0" borderId="1" xfId="0" applyFont="1" applyFill="1" applyBorder="1" applyAlignment="1">
      <alignment horizontal="center" vertical="center"/>
    </xf>
    <xf numFmtId="0" fontId="3" fillId="0" borderId="0" xfId="0" quotePrefix="1" applyFont="1" applyFill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1" xfId="0" quotePrefix="1" applyFont="1" applyFill="1" applyBorder="1" applyAlignment="1">
      <alignment horizontal="left" vertical="center" wrapText="1"/>
    </xf>
    <xf numFmtId="2" fontId="3" fillId="0" borderId="2" xfId="0" applyNumberFormat="1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1" fontId="3" fillId="0" borderId="1" xfId="0" applyNumberFormat="1" applyFont="1" applyFill="1" applyBorder="1" applyAlignment="1">
      <alignment horizontal="center" vertical="center"/>
    </xf>
    <xf numFmtId="3" fontId="3" fillId="0" borderId="1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0" fontId="4" fillId="0" borderId="1" xfId="0" quotePrefix="1" applyFont="1" applyFill="1" applyBorder="1" applyAlignment="1">
      <alignment horizontal="left" vertical="center" wrapText="1"/>
    </xf>
    <xf numFmtId="2" fontId="4" fillId="0" borderId="2" xfId="0" applyNumberFormat="1" applyFont="1" applyFill="1" applyBorder="1" applyAlignment="1">
      <alignment horizontal="center" vertical="center"/>
    </xf>
    <xf numFmtId="1" fontId="4" fillId="0" borderId="1" xfId="0" applyNumberFormat="1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1" fontId="6" fillId="0" borderId="1" xfId="0" applyNumberFormat="1" applyFont="1" applyFill="1" applyBorder="1" applyAlignment="1">
      <alignment horizontal="center" vertical="center" wrapText="1"/>
    </xf>
    <xf numFmtId="1" fontId="4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</cellXfs>
  <cellStyles count="6">
    <cellStyle name="Обычный" xfId="0" builtinId="0"/>
    <cellStyle name="Обычный 2" xfId="4"/>
    <cellStyle name="Обычный 3" xfId="2"/>
    <cellStyle name="Финансовый" xfId="1" builtinId="3"/>
    <cellStyle name="Финансовый 2" xfId="5"/>
    <cellStyle name="Финансовый 3" xfId="3"/>
  </cellStyles>
  <dxfs count="0"/>
  <tableStyles count="0" defaultTableStyle="TableStyleMedium2" defaultPivotStyle="PivotStyleMedium9"/>
  <colors>
    <mruColors>
      <color rgb="FFCCECFF"/>
      <color rgb="FFFFFFCC"/>
      <color rgb="FF00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AX60"/>
  <sheetViews>
    <sheetView tabSelected="1" view="pageBreakPreview" topLeftCell="A4" zoomScale="85" zoomScaleNormal="85" zoomScaleSheetLayoutView="85" workbookViewId="0">
      <pane xSplit="1" ySplit="5" topLeftCell="B9" activePane="bottomRight" state="frozen"/>
      <selection activeCell="A4" sqref="A4"/>
      <selection pane="topRight" activeCell="B4" sqref="B4"/>
      <selection pane="bottomLeft" activeCell="A10" sqref="A10"/>
      <selection pane="bottomRight" activeCell="A4" sqref="A1:XFD1048576"/>
    </sheetView>
  </sheetViews>
  <sheetFormatPr defaultRowHeight="18.75" x14ac:dyDescent="0.3"/>
  <cols>
    <col min="1" max="1" width="66" style="40" customWidth="1"/>
    <col min="2" max="3" width="14.140625" style="4" customWidth="1"/>
    <col min="4" max="4" width="19.85546875" style="4" customWidth="1"/>
    <col min="5" max="7" width="14.140625" style="4" customWidth="1"/>
    <col min="8" max="8" width="16" style="4" customWidth="1"/>
    <col min="9" max="9" width="14.140625" style="4" customWidth="1"/>
    <col min="10" max="10" width="14.7109375" style="4" customWidth="1"/>
    <col min="11" max="29" width="14.140625" style="4" customWidth="1"/>
    <col min="30" max="30" width="15.28515625" style="4" customWidth="1"/>
    <col min="31" max="31" width="14.5703125" style="4" customWidth="1"/>
    <col min="32" max="32" width="14" style="4" customWidth="1"/>
    <col min="33" max="33" width="15.140625" style="4" customWidth="1"/>
    <col min="34" max="34" width="13.7109375" style="4" customWidth="1"/>
    <col min="35" max="35" width="14.5703125" style="4" customWidth="1"/>
    <col min="36" max="36" width="13" style="4" customWidth="1"/>
    <col min="37" max="37" width="13.85546875" style="4" customWidth="1"/>
    <col min="38" max="38" width="13" style="4" customWidth="1"/>
    <col min="39" max="39" width="14.140625" style="4" customWidth="1"/>
    <col min="40" max="40" width="15" style="4" customWidth="1"/>
    <col min="41" max="41" width="13.42578125" style="4" customWidth="1"/>
    <col min="42" max="43" width="13.7109375" style="4" customWidth="1"/>
    <col min="44" max="44" width="13" style="4" customWidth="1"/>
    <col min="45" max="45" width="14.42578125" style="4" customWidth="1"/>
    <col min="46" max="46" width="13.42578125" style="4" customWidth="1"/>
    <col min="47" max="47" width="13.7109375" style="4" customWidth="1"/>
    <col min="48" max="48" width="12.42578125" style="4" customWidth="1"/>
    <col min="49" max="49" width="10" style="4" customWidth="1"/>
    <col min="50" max="50" width="12.28515625" style="4" customWidth="1"/>
    <col min="51" max="16384" width="9.140625" style="4"/>
  </cols>
  <sheetData>
    <row r="4" spans="1:50" ht="48.75" customHeight="1" x14ac:dyDescent="0.3">
      <c r="A4" s="44" t="s">
        <v>138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3"/>
    </row>
    <row r="5" spans="1:50" ht="24" customHeight="1" x14ac:dyDescent="0.3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2"/>
      <c r="AF5" s="2"/>
      <c r="AG5" s="3"/>
    </row>
    <row r="6" spans="1:50" s="7" customFormat="1" ht="45" customHeight="1" x14ac:dyDescent="0.3">
      <c r="A6" s="6"/>
      <c r="B6" s="45" t="s">
        <v>47</v>
      </c>
      <c r="C6" s="46"/>
      <c r="D6" s="46"/>
      <c r="E6" s="46"/>
      <c r="F6" s="46"/>
      <c r="G6" s="46"/>
      <c r="H6" s="46"/>
      <c r="I6" s="46"/>
      <c r="J6" s="46"/>
      <c r="K6" s="46"/>
      <c r="L6" s="46"/>
      <c r="M6" s="46"/>
      <c r="N6" s="46"/>
      <c r="O6" s="46"/>
      <c r="P6" s="46"/>
      <c r="Q6" s="46"/>
      <c r="R6" s="46"/>
      <c r="S6" s="46"/>
      <c r="T6" s="46"/>
      <c r="U6" s="46"/>
      <c r="V6" s="46"/>
      <c r="W6" s="46"/>
      <c r="X6" s="46"/>
      <c r="Y6" s="46"/>
      <c r="Z6" s="46"/>
      <c r="AA6" s="46"/>
      <c r="AB6" s="46"/>
      <c r="AC6" s="47"/>
      <c r="AD6" s="48" t="s">
        <v>61</v>
      </c>
      <c r="AE6" s="49"/>
      <c r="AF6" s="48" t="s">
        <v>123</v>
      </c>
      <c r="AG6" s="50"/>
      <c r="AH6" s="50"/>
      <c r="AI6" s="50"/>
      <c r="AJ6" s="50"/>
      <c r="AK6" s="50"/>
      <c r="AL6" s="48" t="s">
        <v>67</v>
      </c>
      <c r="AM6" s="49"/>
      <c r="AN6" s="51" t="s">
        <v>68</v>
      </c>
      <c r="AO6" s="51"/>
      <c r="AP6" s="51"/>
      <c r="AQ6" s="51"/>
      <c r="AR6" s="51"/>
      <c r="AS6" s="51"/>
      <c r="AT6" s="51"/>
      <c r="AU6" s="51"/>
      <c r="AV6" s="45" t="s">
        <v>44</v>
      </c>
      <c r="AW6" s="47"/>
    </row>
    <row r="7" spans="1:50" s="2" customFormat="1" ht="114" customHeight="1" x14ac:dyDescent="0.25">
      <c r="A7" s="6"/>
      <c r="B7" s="48" t="s">
        <v>48</v>
      </c>
      <c r="C7" s="49"/>
      <c r="D7" s="48" t="s">
        <v>49</v>
      </c>
      <c r="E7" s="49"/>
      <c r="F7" s="48" t="s">
        <v>130</v>
      </c>
      <c r="G7" s="49"/>
      <c r="H7" s="48" t="s">
        <v>50</v>
      </c>
      <c r="I7" s="49"/>
      <c r="J7" s="53" t="s">
        <v>51</v>
      </c>
      <c r="K7" s="53"/>
      <c r="L7" s="53" t="s">
        <v>52</v>
      </c>
      <c r="M7" s="53"/>
      <c r="N7" s="54" t="s">
        <v>53</v>
      </c>
      <c r="O7" s="54"/>
      <c r="P7" s="53" t="s">
        <v>54</v>
      </c>
      <c r="Q7" s="48"/>
      <c r="R7" s="53" t="s">
        <v>55</v>
      </c>
      <c r="S7" s="53"/>
      <c r="T7" s="53" t="s">
        <v>56</v>
      </c>
      <c r="U7" s="53"/>
      <c r="V7" s="53" t="s">
        <v>57</v>
      </c>
      <c r="W7" s="53"/>
      <c r="X7" s="53" t="s">
        <v>58</v>
      </c>
      <c r="Y7" s="53"/>
      <c r="Z7" s="48" t="s">
        <v>59</v>
      </c>
      <c r="AA7" s="50"/>
      <c r="AB7" s="53" t="s">
        <v>129</v>
      </c>
      <c r="AC7" s="53"/>
      <c r="AD7" s="48" t="s">
        <v>62</v>
      </c>
      <c r="AE7" s="50"/>
      <c r="AF7" s="53" t="s">
        <v>63</v>
      </c>
      <c r="AG7" s="53"/>
      <c r="AH7" s="53" t="s">
        <v>64</v>
      </c>
      <c r="AI7" s="53"/>
      <c r="AJ7" s="53" t="s">
        <v>65</v>
      </c>
      <c r="AK7" s="53"/>
      <c r="AL7" s="55" t="s">
        <v>66</v>
      </c>
      <c r="AM7" s="56"/>
      <c r="AN7" s="53" t="s">
        <v>69</v>
      </c>
      <c r="AO7" s="53"/>
      <c r="AP7" s="53" t="s">
        <v>70</v>
      </c>
      <c r="AQ7" s="53"/>
      <c r="AR7" s="53" t="s">
        <v>71</v>
      </c>
      <c r="AS7" s="53"/>
      <c r="AT7" s="54" t="s">
        <v>72</v>
      </c>
      <c r="AU7" s="57"/>
      <c r="AV7" s="8" t="s">
        <v>45</v>
      </c>
      <c r="AW7" s="8" t="s">
        <v>46</v>
      </c>
    </row>
    <row r="8" spans="1:50" s="2" customFormat="1" ht="48.75" customHeight="1" x14ac:dyDescent="0.25">
      <c r="A8" s="6" t="s">
        <v>60</v>
      </c>
      <c r="B8" s="8" t="s">
        <v>73</v>
      </c>
      <c r="C8" s="8" t="s">
        <v>26</v>
      </c>
      <c r="D8" s="8" t="s">
        <v>74</v>
      </c>
      <c r="E8" s="8" t="s">
        <v>27</v>
      </c>
      <c r="F8" s="8" t="s">
        <v>75</v>
      </c>
      <c r="G8" s="8" t="s">
        <v>28</v>
      </c>
      <c r="H8" s="8" t="s">
        <v>76</v>
      </c>
      <c r="I8" s="8" t="s">
        <v>29</v>
      </c>
      <c r="J8" s="8" t="s">
        <v>118</v>
      </c>
      <c r="K8" s="8" t="s">
        <v>30</v>
      </c>
      <c r="L8" s="8" t="s">
        <v>77</v>
      </c>
      <c r="M8" s="8" t="s">
        <v>31</v>
      </c>
      <c r="N8" s="8" t="s">
        <v>78</v>
      </c>
      <c r="O8" s="8" t="s">
        <v>32</v>
      </c>
      <c r="P8" s="8" t="s">
        <v>79</v>
      </c>
      <c r="Q8" s="8" t="s">
        <v>33</v>
      </c>
      <c r="R8" s="8" t="s">
        <v>80</v>
      </c>
      <c r="S8" s="8" t="s">
        <v>34</v>
      </c>
      <c r="T8" s="8" t="s">
        <v>81</v>
      </c>
      <c r="U8" s="8" t="s">
        <v>35</v>
      </c>
      <c r="V8" s="8" t="s">
        <v>82</v>
      </c>
      <c r="W8" s="8" t="s">
        <v>37</v>
      </c>
      <c r="X8" s="8" t="s">
        <v>84</v>
      </c>
      <c r="Y8" s="8" t="s">
        <v>36</v>
      </c>
      <c r="Z8" s="8" t="s">
        <v>85</v>
      </c>
      <c r="AA8" s="8" t="s">
        <v>38</v>
      </c>
      <c r="AB8" s="8" t="s">
        <v>86</v>
      </c>
      <c r="AC8" s="8" t="s">
        <v>83</v>
      </c>
      <c r="AD8" s="8" t="s">
        <v>102</v>
      </c>
      <c r="AE8" s="8" t="s">
        <v>103</v>
      </c>
      <c r="AF8" s="8" t="s">
        <v>104</v>
      </c>
      <c r="AG8" s="8" t="s">
        <v>39</v>
      </c>
      <c r="AH8" s="9" t="s">
        <v>105</v>
      </c>
      <c r="AI8" s="8" t="s">
        <v>40</v>
      </c>
      <c r="AJ8" s="8" t="s">
        <v>106</v>
      </c>
      <c r="AK8" s="8" t="s">
        <v>41</v>
      </c>
      <c r="AL8" s="8" t="s">
        <v>107</v>
      </c>
      <c r="AM8" s="8" t="s">
        <v>23</v>
      </c>
      <c r="AN8" s="8" t="s">
        <v>108</v>
      </c>
      <c r="AO8" s="8" t="s">
        <v>42</v>
      </c>
      <c r="AP8" s="8" t="s">
        <v>109</v>
      </c>
      <c r="AQ8" s="8" t="s">
        <v>43</v>
      </c>
      <c r="AR8" s="8" t="s">
        <v>110</v>
      </c>
      <c r="AS8" s="8" t="s">
        <v>24</v>
      </c>
      <c r="AT8" s="8" t="s">
        <v>111</v>
      </c>
      <c r="AU8" s="8" t="s">
        <v>25</v>
      </c>
      <c r="AV8" s="10"/>
      <c r="AW8" s="10"/>
    </row>
    <row r="9" spans="1:50" s="17" customFormat="1" ht="15.75" customHeight="1" x14ac:dyDescent="0.3">
      <c r="A9" s="11" t="s">
        <v>19</v>
      </c>
      <c r="B9" s="12"/>
      <c r="C9" s="12" t="s">
        <v>22</v>
      </c>
      <c r="D9" s="12"/>
      <c r="E9" s="12" t="s">
        <v>22</v>
      </c>
      <c r="F9" s="12"/>
      <c r="G9" s="12" t="s">
        <v>22</v>
      </c>
      <c r="H9" s="12"/>
      <c r="I9" s="12" t="s">
        <v>22</v>
      </c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  <c r="AD9" s="14"/>
      <c r="AE9" s="12" t="s">
        <v>22</v>
      </c>
      <c r="AF9" s="15"/>
      <c r="AG9" s="15" t="s">
        <v>22</v>
      </c>
      <c r="AH9" s="15"/>
      <c r="AI9" s="15" t="s">
        <v>22</v>
      </c>
      <c r="AJ9" s="16"/>
      <c r="AK9" s="15" t="s">
        <v>22</v>
      </c>
      <c r="AL9" s="15"/>
      <c r="AM9" s="15" t="s">
        <v>22</v>
      </c>
      <c r="AN9" s="15"/>
      <c r="AO9" s="15" t="s">
        <v>22</v>
      </c>
      <c r="AP9" s="15"/>
      <c r="AQ9" s="15" t="s">
        <v>22</v>
      </c>
      <c r="AR9" s="15"/>
      <c r="AS9" s="15" t="s">
        <v>22</v>
      </c>
      <c r="AT9" s="15"/>
      <c r="AU9" s="15" t="s">
        <v>22</v>
      </c>
      <c r="AV9" s="15"/>
      <c r="AW9" s="15"/>
    </row>
    <row r="10" spans="1:50" s="63" customFormat="1" ht="44.25" customHeight="1" x14ac:dyDescent="0.25">
      <c r="A10" s="58" t="s">
        <v>136</v>
      </c>
      <c r="B10" s="59">
        <f>SUM(B11:B15)/5</f>
        <v>29.269457157138437</v>
      </c>
      <c r="C10" s="60">
        <v>0.5</v>
      </c>
      <c r="D10" s="59">
        <v>-57.375269226522015</v>
      </c>
      <c r="E10" s="60">
        <v>1</v>
      </c>
      <c r="F10" s="59">
        <v>83.727945193067242</v>
      </c>
      <c r="G10" s="60">
        <v>0.3</v>
      </c>
      <c r="H10" s="59">
        <v>90.145981041562024</v>
      </c>
      <c r="I10" s="60">
        <v>0</v>
      </c>
      <c r="J10" s="61">
        <f>3/3</f>
        <v>1</v>
      </c>
      <c r="K10" s="43">
        <v>1</v>
      </c>
      <c r="L10" s="43">
        <v>0</v>
      </c>
      <c r="M10" s="43">
        <v>1</v>
      </c>
      <c r="N10" s="43">
        <v>0</v>
      </c>
      <c r="O10" s="43">
        <v>1</v>
      </c>
      <c r="P10" s="43">
        <v>0</v>
      </c>
      <c r="Q10" s="43">
        <v>1</v>
      </c>
      <c r="R10" s="43">
        <v>0</v>
      </c>
      <c r="S10" s="43">
        <v>1</v>
      </c>
      <c r="T10" s="43">
        <f>100*7/7</f>
        <v>100</v>
      </c>
      <c r="U10" s="43">
        <v>1</v>
      </c>
      <c r="V10" s="43" t="s">
        <v>92</v>
      </c>
      <c r="W10" s="43">
        <v>1</v>
      </c>
      <c r="X10" s="43" t="s">
        <v>93</v>
      </c>
      <c r="Y10" s="43">
        <v>1</v>
      </c>
      <c r="Z10" s="43">
        <v>0</v>
      </c>
      <c r="AA10" s="43">
        <v>1</v>
      </c>
      <c r="AB10" s="43">
        <v>1</v>
      </c>
      <c r="AC10" s="43">
        <v>1</v>
      </c>
      <c r="AD10" s="31">
        <v>103.8</v>
      </c>
      <c r="AE10" s="60">
        <v>1</v>
      </c>
      <c r="AF10" s="43" t="s">
        <v>99</v>
      </c>
      <c r="AG10" s="43">
        <v>1</v>
      </c>
      <c r="AH10" s="43">
        <v>1</v>
      </c>
      <c r="AI10" s="43">
        <v>0</v>
      </c>
      <c r="AJ10" s="62">
        <v>0</v>
      </c>
      <c r="AK10" s="43">
        <v>1</v>
      </c>
      <c r="AL10" s="43">
        <v>0</v>
      </c>
      <c r="AM10" s="43">
        <v>1</v>
      </c>
      <c r="AN10" s="43">
        <v>0</v>
      </c>
      <c r="AO10" s="43">
        <v>1</v>
      </c>
      <c r="AP10" s="43">
        <v>0</v>
      </c>
      <c r="AQ10" s="43">
        <v>1</v>
      </c>
      <c r="AR10" s="43">
        <v>0</v>
      </c>
      <c r="AS10" s="43">
        <v>1</v>
      </c>
      <c r="AT10" s="43">
        <v>0</v>
      </c>
      <c r="AU10" s="43">
        <v>1</v>
      </c>
      <c r="AV10" s="31">
        <f t="shared" ref="AV10:AV41" si="0">C10+E10+G10+I10+K10+M10+O10+Q10+S10+U10+W10+Y10+AA10+AC10+AE10+AG10+AI10+AK10+AM10+AO10+AQ10+AS10+AU10</f>
        <v>19.8</v>
      </c>
      <c r="AW10" s="31">
        <v>0.85</v>
      </c>
      <c r="AX10" s="32" t="s">
        <v>133</v>
      </c>
    </row>
    <row r="11" spans="1:50" s="32" customFormat="1" ht="20.25" hidden="1" customHeight="1" x14ac:dyDescent="0.25">
      <c r="A11" s="64" t="s">
        <v>137</v>
      </c>
      <c r="B11" s="65">
        <f>110*(1-(1428782034.9/6916896749.61))</f>
        <v>87.277957221515322</v>
      </c>
      <c r="C11" s="14">
        <v>0.5</v>
      </c>
      <c r="D11" s="65">
        <v>-59.84</v>
      </c>
      <c r="E11" s="14">
        <v>1</v>
      </c>
      <c r="F11" s="65">
        <v>92.056716091425059</v>
      </c>
      <c r="G11" s="14">
        <v>0.7</v>
      </c>
      <c r="H11" s="65">
        <v>114.87456970049867</v>
      </c>
      <c r="I11" s="14">
        <v>0</v>
      </c>
      <c r="J11" s="18"/>
      <c r="K11" s="18"/>
      <c r="L11" s="18">
        <v>0</v>
      </c>
      <c r="M11" s="18">
        <v>1</v>
      </c>
      <c r="N11" s="18">
        <v>0</v>
      </c>
      <c r="O11" s="18">
        <v>1</v>
      </c>
      <c r="P11" s="19"/>
      <c r="Q11" s="19"/>
      <c r="R11" s="19"/>
      <c r="S11" s="19"/>
      <c r="T11" s="19"/>
      <c r="U11" s="19"/>
      <c r="V11" s="18"/>
      <c r="W11" s="18"/>
      <c r="X11" s="19"/>
      <c r="Y11" s="19"/>
      <c r="Z11" s="18">
        <v>0</v>
      </c>
      <c r="AA11" s="18">
        <v>0</v>
      </c>
      <c r="AB11" s="66">
        <v>1</v>
      </c>
      <c r="AC11" s="18">
        <v>1</v>
      </c>
      <c r="AD11" s="37"/>
      <c r="AE11" s="67"/>
      <c r="AF11" s="18"/>
      <c r="AG11" s="18"/>
      <c r="AH11" s="19"/>
      <c r="AI11" s="19"/>
      <c r="AJ11" s="68"/>
      <c r="AK11" s="19"/>
      <c r="AL11" s="19"/>
      <c r="AM11" s="19"/>
      <c r="AN11" s="18">
        <v>1</v>
      </c>
      <c r="AO11" s="18">
        <v>0</v>
      </c>
      <c r="AP11" s="19"/>
      <c r="AQ11" s="19"/>
      <c r="AR11" s="19"/>
      <c r="AS11" s="19"/>
      <c r="AT11" s="18"/>
      <c r="AU11" s="18"/>
      <c r="AV11" s="31">
        <f t="shared" si="0"/>
        <v>5.2</v>
      </c>
      <c r="AW11" s="21"/>
      <c r="AX11" s="32" t="s">
        <v>133</v>
      </c>
    </row>
    <row r="12" spans="1:50" s="32" customFormat="1" ht="20.25" hidden="1" customHeight="1" x14ac:dyDescent="0.25">
      <c r="A12" s="11" t="s">
        <v>87</v>
      </c>
      <c r="B12" s="65">
        <f>25*(1-(446958316.07/6916896749.61))</f>
        <v>23.384541752429651</v>
      </c>
      <c r="C12" s="14">
        <v>0.5</v>
      </c>
      <c r="D12" s="65">
        <v>-46.444788564113743</v>
      </c>
      <c r="E12" s="14">
        <v>1</v>
      </c>
      <c r="F12" s="65">
        <v>42.495196966754079</v>
      </c>
      <c r="G12" s="14">
        <v>0</v>
      </c>
      <c r="H12" s="65">
        <v>14.244643768579268</v>
      </c>
      <c r="I12" s="14">
        <v>0.7</v>
      </c>
      <c r="J12" s="18"/>
      <c r="K12" s="18"/>
      <c r="L12" s="18">
        <v>0</v>
      </c>
      <c r="M12" s="18">
        <v>1</v>
      </c>
      <c r="N12" s="19"/>
      <c r="O12" s="19"/>
      <c r="P12" s="19"/>
      <c r="Q12" s="19"/>
      <c r="R12" s="19"/>
      <c r="S12" s="19"/>
      <c r="T12" s="19"/>
      <c r="U12" s="19"/>
      <c r="V12" s="18"/>
      <c r="W12" s="18"/>
      <c r="X12" s="19"/>
      <c r="Y12" s="19"/>
      <c r="Z12" s="19"/>
      <c r="AA12" s="19"/>
      <c r="AB12" s="19"/>
      <c r="AC12" s="19"/>
      <c r="AD12" s="19"/>
      <c r="AE12" s="19"/>
      <c r="AF12" s="18"/>
      <c r="AG12" s="18"/>
      <c r="AH12" s="19"/>
      <c r="AI12" s="19"/>
      <c r="AJ12" s="68"/>
      <c r="AK12" s="19"/>
      <c r="AL12" s="19"/>
      <c r="AM12" s="19"/>
      <c r="AN12" s="19"/>
      <c r="AO12" s="19"/>
      <c r="AP12" s="19"/>
      <c r="AQ12" s="19"/>
      <c r="AR12" s="19"/>
      <c r="AS12" s="19"/>
      <c r="AT12" s="19"/>
      <c r="AU12" s="19"/>
      <c r="AV12" s="31">
        <f t="shared" si="0"/>
        <v>3.2</v>
      </c>
      <c r="AW12" s="21"/>
      <c r="AX12" s="32" t="s">
        <v>133</v>
      </c>
    </row>
    <row r="13" spans="1:50" s="32" customFormat="1" ht="24" hidden="1" customHeight="1" x14ac:dyDescent="0.25">
      <c r="A13" s="11" t="s">
        <v>88</v>
      </c>
      <c r="B13" s="65">
        <f>24*(1-(80966429.59/6916896749.61))</f>
        <v>23.719065589598461</v>
      </c>
      <c r="C13" s="14">
        <v>0.5</v>
      </c>
      <c r="D13" s="65">
        <f>(1999468.29-1292496.17)*100/1292496.17</f>
        <v>54.698198448046483</v>
      </c>
      <c r="E13" s="14">
        <v>0</v>
      </c>
      <c r="F13" s="65">
        <v>98.058219101262097</v>
      </c>
      <c r="G13" s="14">
        <v>1</v>
      </c>
      <c r="H13" s="65">
        <v>7.6112820816491155E-4</v>
      </c>
      <c r="I13" s="14">
        <v>1</v>
      </c>
      <c r="J13" s="18"/>
      <c r="K13" s="18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8"/>
      <c r="W13" s="18"/>
      <c r="X13" s="19"/>
      <c r="Y13" s="19"/>
      <c r="Z13" s="19"/>
      <c r="AA13" s="19"/>
      <c r="AB13" s="19"/>
      <c r="AC13" s="19"/>
      <c r="AD13" s="19"/>
      <c r="AE13" s="19"/>
      <c r="AF13" s="18"/>
      <c r="AG13" s="18"/>
      <c r="AH13" s="19"/>
      <c r="AI13" s="19"/>
      <c r="AJ13" s="68"/>
      <c r="AK13" s="19"/>
      <c r="AL13" s="19"/>
      <c r="AM13" s="19"/>
      <c r="AN13" s="19"/>
      <c r="AO13" s="19"/>
      <c r="AP13" s="19"/>
      <c r="AQ13" s="19"/>
      <c r="AR13" s="19"/>
      <c r="AS13" s="19"/>
      <c r="AT13" s="19"/>
      <c r="AU13" s="19"/>
      <c r="AV13" s="31">
        <f t="shared" si="0"/>
        <v>2.5</v>
      </c>
      <c r="AW13" s="21"/>
      <c r="AX13" s="32" t="s">
        <v>132</v>
      </c>
    </row>
    <row r="14" spans="1:50" s="32" customFormat="1" ht="20.25" hidden="1" customHeight="1" x14ac:dyDescent="0.25">
      <c r="A14" s="11" t="s">
        <v>89</v>
      </c>
      <c r="B14" s="65">
        <f>3*(1-18111560.43/6916896749.61)</f>
        <v>2.9921446447363751</v>
      </c>
      <c r="C14" s="14">
        <v>1</v>
      </c>
      <c r="D14" s="65">
        <f>(6384032.61-3604973.35)*100/3604973.35</f>
        <v>77.089592354406719</v>
      </c>
      <c r="E14" s="14">
        <v>0</v>
      </c>
      <c r="F14" s="65">
        <v>87.770314232200178</v>
      </c>
      <c r="G14" s="14">
        <v>0.7</v>
      </c>
      <c r="H14" s="65">
        <v>1.4778890968475906</v>
      </c>
      <c r="I14" s="14">
        <v>1</v>
      </c>
      <c r="J14" s="18"/>
      <c r="K14" s="18"/>
      <c r="L14" s="19"/>
      <c r="M14" s="19"/>
      <c r="N14" s="19"/>
      <c r="O14" s="19"/>
      <c r="P14" s="19"/>
      <c r="Q14" s="19"/>
      <c r="R14" s="19"/>
      <c r="S14" s="19"/>
      <c r="T14" s="19"/>
      <c r="U14" s="19"/>
      <c r="V14" s="18"/>
      <c r="W14" s="18"/>
      <c r="X14" s="19"/>
      <c r="Y14" s="19"/>
      <c r="Z14" s="19"/>
      <c r="AA14" s="19"/>
      <c r="AB14" s="19"/>
      <c r="AC14" s="19"/>
      <c r="AD14" s="19"/>
      <c r="AE14" s="19"/>
      <c r="AF14" s="18"/>
      <c r="AG14" s="18"/>
      <c r="AH14" s="19"/>
      <c r="AI14" s="19"/>
      <c r="AJ14" s="68"/>
      <c r="AK14" s="19"/>
      <c r="AL14" s="19"/>
      <c r="AM14" s="19"/>
      <c r="AN14" s="19"/>
      <c r="AO14" s="19"/>
      <c r="AP14" s="19"/>
      <c r="AQ14" s="19"/>
      <c r="AR14" s="19"/>
      <c r="AS14" s="19"/>
      <c r="AT14" s="19"/>
      <c r="AU14" s="19"/>
      <c r="AV14" s="31">
        <f t="shared" si="0"/>
        <v>2.7</v>
      </c>
      <c r="AW14" s="21"/>
      <c r="AX14" s="32" t="s">
        <v>133</v>
      </c>
    </row>
    <row r="15" spans="1:50" s="32" customFormat="1" ht="12.75" hidden="1" customHeight="1" x14ac:dyDescent="0.25">
      <c r="A15" s="11" t="s">
        <v>90</v>
      </c>
      <c r="B15" s="65">
        <f>9*(1-(20307565.09/6916896749.61))</f>
        <v>8.9735765774123628</v>
      </c>
      <c r="C15" s="14">
        <v>1</v>
      </c>
      <c r="D15" s="65">
        <v>-8.4297123460490173</v>
      </c>
      <c r="E15" s="14">
        <v>1</v>
      </c>
      <c r="F15" s="65">
        <v>88.678025888172797</v>
      </c>
      <c r="G15" s="14">
        <v>0.7</v>
      </c>
      <c r="H15" s="65">
        <v>140.54668252799559</v>
      </c>
      <c r="I15" s="14">
        <v>0</v>
      </c>
      <c r="J15" s="18"/>
      <c r="K15" s="18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8"/>
      <c r="W15" s="18"/>
      <c r="X15" s="19"/>
      <c r="Y15" s="19"/>
      <c r="Z15" s="19"/>
      <c r="AA15" s="19"/>
      <c r="AB15" s="19"/>
      <c r="AC15" s="19"/>
      <c r="AD15" s="19"/>
      <c r="AE15" s="19"/>
      <c r="AF15" s="18"/>
      <c r="AG15" s="18"/>
      <c r="AH15" s="19"/>
      <c r="AI15" s="19"/>
      <c r="AJ15" s="68"/>
      <c r="AK15" s="19"/>
      <c r="AL15" s="19"/>
      <c r="AM15" s="19"/>
      <c r="AN15" s="19"/>
      <c r="AO15" s="19"/>
      <c r="AP15" s="19"/>
      <c r="AQ15" s="19"/>
      <c r="AR15" s="19"/>
      <c r="AS15" s="19"/>
      <c r="AT15" s="19"/>
      <c r="AU15" s="19"/>
      <c r="AV15" s="31">
        <f t="shared" si="0"/>
        <v>2.7</v>
      </c>
      <c r="AW15" s="21"/>
      <c r="AX15" s="32" t="s">
        <v>133</v>
      </c>
    </row>
    <row r="16" spans="1:50" s="63" customFormat="1" ht="31.5" customHeight="1" x14ac:dyDescent="0.25">
      <c r="A16" s="58" t="s">
        <v>127</v>
      </c>
      <c r="B16" s="59">
        <f>B17/1</f>
        <v>9.9538168058359382</v>
      </c>
      <c r="C16" s="60">
        <v>1</v>
      </c>
      <c r="D16" s="59">
        <f t="shared" ref="D16:H16" si="1">D17</f>
        <v>26.433297814514173</v>
      </c>
      <c r="E16" s="60">
        <f t="shared" si="1"/>
        <v>1</v>
      </c>
      <c r="F16" s="59">
        <f t="shared" si="1"/>
        <v>68.835273623768884</v>
      </c>
      <c r="G16" s="60">
        <f t="shared" si="1"/>
        <v>0</v>
      </c>
      <c r="H16" s="59">
        <f t="shared" si="1"/>
        <v>50.88</v>
      </c>
      <c r="I16" s="60">
        <v>0</v>
      </c>
      <c r="J16" s="61" t="s">
        <v>101</v>
      </c>
      <c r="K16" s="43">
        <v>1</v>
      </c>
      <c r="L16" s="43" t="s">
        <v>101</v>
      </c>
      <c r="M16" s="43">
        <v>1</v>
      </c>
      <c r="N16" s="43" t="s">
        <v>101</v>
      </c>
      <c r="O16" s="43">
        <v>1</v>
      </c>
      <c r="P16" s="43" t="s">
        <v>101</v>
      </c>
      <c r="Q16" s="43">
        <v>1</v>
      </c>
      <c r="R16" s="43" t="s">
        <v>101</v>
      </c>
      <c r="S16" s="43">
        <v>1</v>
      </c>
      <c r="T16" s="43" t="s">
        <v>101</v>
      </c>
      <c r="U16" s="43">
        <v>1</v>
      </c>
      <c r="V16" s="43" t="s">
        <v>101</v>
      </c>
      <c r="W16" s="43">
        <v>1</v>
      </c>
      <c r="X16" s="43" t="s">
        <v>101</v>
      </c>
      <c r="Y16" s="43">
        <v>1</v>
      </c>
      <c r="Z16" s="43" t="s">
        <v>101</v>
      </c>
      <c r="AA16" s="43">
        <v>1</v>
      </c>
      <c r="AB16" s="43" t="s">
        <v>101</v>
      </c>
      <c r="AC16" s="43">
        <v>1</v>
      </c>
      <c r="AD16" s="31" t="s">
        <v>101</v>
      </c>
      <c r="AE16" s="60">
        <v>1</v>
      </c>
      <c r="AF16" s="43" t="s">
        <v>101</v>
      </c>
      <c r="AG16" s="43">
        <v>1</v>
      </c>
      <c r="AH16" s="43" t="s">
        <v>101</v>
      </c>
      <c r="AI16" s="43">
        <v>1</v>
      </c>
      <c r="AJ16" s="62" t="s">
        <v>101</v>
      </c>
      <c r="AK16" s="43">
        <v>1</v>
      </c>
      <c r="AL16" s="43" t="s">
        <v>101</v>
      </c>
      <c r="AM16" s="43">
        <v>1</v>
      </c>
      <c r="AN16" s="43" t="s">
        <v>101</v>
      </c>
      <c r="AO16" s="43">
        <v>1</v>
      </c>
      <c r="AP16" s="43" t="s">
        <v>101</v>
      </c>
      <c r="AQ16" s="43">
        <v>1</v>
      </c>
      <c r="AR16" s="43" t="s">
        <v>101</v>
      </c>
      <c r="AS16" s="43">
        <v>1</v>
      </c>
      <c r="AT16" s="43" t="s">
        <v>101</v>
      </c>
      <c r="AU16" s="43">
        <v>1</v>
      </c>
      <c r="AV16" s="31">
        <f t="shared" si="0"/>
        <v>21</v>
      </c>
      <c r="AW16" s="31">
        <v>0.87</v>
      </c>
      <c r="AX16" s="32" t="s">
        <v>133</v>
      </c>
    </row>
    <row r="17" spans="1:50" s="32" customFormat="1" ht="20.25" hidden="1" customHeight="1" x14ac:dyDescent="0.25">
      <c r="A17" s="11" t="s">
        <v>121</v>
      </c>
      <c r="B17" s="65">
        <f>10*(1-(31944438.56/6916896749.61))</f>
        <v>9.9538168058359382</v>
      </c>
      <c r="C17" s="14">
        <v>1</v>
      </c>
      <c r="D17" s="65">
        <f>(6359476.45-5029906.33)*100/5029906.33</f>
        <v>26.433297814514173</v>
      </c>
      <c r="E17" s="14">
        <v>1</v>
      </c>
      <c r="F17" s="65">
        <v>68.835273623768884</v>
      </c>
      <c r="G17" s="14">
        <v>0</v>
      </c>
      <c r="H17" s="65">
        <v>50.88</v>
      </c>
      <c r="I17" s="14">
        <v>0.3</v>
      </c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4"/>
      <c r="AF17" s="18"/>
      <c r="AG17" s="18"/>
      <c r="AH17" s="18"/>
      <c r="AI17" s="18"/>
      <c r="AJ17" s="69"/>
      <c r="AK17" s="18"/>
      <c r="AL17" s="18"/>
      <c r="AM17" s="18"/>
      <c r="AN17" s="18"/>
      <c r="AO17" s="18"/>
      <c r="AP17" s="18"/>
      <c r="AQ17" s="18"/>
      <c r="AR17" s="18"/>
      <c r="AS17" s="18"/>
      <c r="AT17" s="18"/>
      <c r="AU17" s="18"/>
      <c r="AV17" s="31">
        <f t="shared" si="0"/>
        <v>2.2999999999999998</v>
      </c>
      <c r="AW17" s="21"/>
      <c r="AX17" s="32" t="s">
        <v>132</v>
      </c>
    </row>
    <row r="18" spans="1:50" s="63" customFormat="1" ht="35.25" customHeight="1" x14ac:dyDescent="0.25">
      <c r="A18" s="58" t="s">
        <v>128</v>
      </c>
      <c r="B18" s="59">
        <f t="shared" ref="B18:I18" si="2">B19</f>
        <v>10.952965634966526</v>
      </c>
      <c r="C18" s="60">
        <f t="shared" si="2"/>
        <v>0.7</v>
      </c>
      <c r="D18" s="59">
        <f t="shared" si="2"/>
        <v>30.075595792897396</v>
      </c>
      <c r="E18" s="60">
        <f t="shared" si="2"/>
        <v>1</v>
      </c>
      <c r="F18" s="59">
        <f t="shared" si="2"/>
        <v>62.560032076991391</v>
      </c>
      <c r="G18" s="60">
        <f t="shared" si="2"/>
        <v>0</v>
      </c>
      <c r="H18" s="59">
        <f t="shared" si="2"/>
        <v>0</v>
      </c>
      <c r="I18" s="60">
        <f t="shared" si="2"/>
        <v>1</v>
      </c>
      <c r="J18" s="61" t="s">
        <v>101</v>
      </c>
      <c r="K18" s="43">
        <v>1</v>
      </c>
      <c r="L18" s="43" t="s">
        <v>101</v>
      </c>
      <c r="M18" s="43">
        <v>1</v>
      </c>
      <c r="N18" s="43" t="s">
        <v>101</v>
      </c>
      <c r="O18" s="43">
        <v>1</v>
      </c>
      <c r="P18" s="43" t="s">
        <v>101</v>
      </c>
      <c r="Q18" s="43">
        <v>1</v>
      </c>
      <c r="R18" s="43" t="s">
        <v>101</v>
      </c>
      <c r="S18" s="43">
        <v>1</v>
      </c>
      <c r="T18" s="43" t="s">
        <v>101</v>
      </c>
      <c r="U18" s="43">
        <v>1</v>
      </c>
      <c r="V18" s="43" t="s">
        <v>101</v>
      </c>
      <c r="W18" s="43">
        <v>1</v>
      </c>
      <c r="X18" s="43" t="s">
        <v>101</v>
      </c>
      <c r="Y18" s="43">
        <v>1</v>
      </c>
      <c r="Z18" s="43" t="s">
        <v>101</v>
      </c>
      <c r="AA18" s="43">
        <v>1</v>
      </c>
      <c r="AB18" s="43" t="s">
        <v>101</v>
      </c>
      <c r="AC18" s="43">
        <v>1</v>
      </c>
      <c r="AD18" s="31" t="s">
        <v>101</v>
      </c>
      <c r="AE18" s="60">
        <v>1</v>
      </c>
      <c r="AF18" s="43" t="s">
        <v>101</v>
      </c>
      <c r="AG18" s="43">
        <v>1</v>
      </c>
      <c r="AH18" s="43" t="s">
        <v>101</v>
      </c>
      <c r="AI18" s="43">
        <v>1</v>
      </c>
      <c r="AJ18" s="62" t="s">
        <v>101</v>
      </c>
      <c r="AK18" s="43">
        <v>1</v>
      </c>
      <c r="AL18" s="43" t="s">
        <v>101</v>
      </c>
      <c r="AM18" s="43">
        <v>1</v>
      </c>
      <c r="AN18" s="43" t="s">
        <v>101</v>
      </c>
      <c r="AO18" s="43">
        <v>1</v>
      </c>
      <c r="AP18" s="43" t="s">
        <v>101</v>
      </c>
      <c r="AQ18" s="43">
        <v>1</v>
      </c>
      <c r="AR18" s="43" t="s">
        <v>101</v>
      </c>
      <c r="AS18" s="43">
        <v>1</v>
      </c>
      <c r="AT18" s="43" t="s">
        <v>101</v>
      </c>
      <c r="AU18" s="43">
        <v>1</v>
      </c>
      <c r="AV18" s="31">
        <f t="shared" si="0"/>
        <v>21.7</v>
      </c>
      <c r="AW18" s="31">
        <v>0.92</v>
      </c>
      <c r="AX18" s="32" t="s">
        <v>132</v>
      </c>
    </row>
    <row r="19" spans="1:50" s="32" customFormat="1" ht="20.25" hidden="1" customHeight="1" x14ac:dyDescent="0.25">
      <c r="A19" s="11" t="s">
        <v>122</v>
      </c>
      <c r="B19" s="65">
        <f>11*(1-(29575622.42/6916896749.61))</f>
        <v>10.952965634966526</v>
      </c>
      <c r="C19" s="14">
        <v>0.7</v>
      </c>
      <c r="D19" s="65">
        <f>(6232736.64-4791626.44)*100/4791626.44</f>
        <v>30.075595792897396</v>
      </c>
      <c r="E19" s="14">
        <v>1</v>
      </c>
      <c r="F19" s="65">
        <v>62.560032076991391</v>
      </c>
      <c r="G19" s="65">
        <v>0</v>
      </c>
      <c r="H19" s="65">
        <v>0</v>
      </c>
      <c r="I19" s="14">
        <v>1</v>
      </c>
      <c r="J19" s="18"/>
      <c r="K19" s="18"/>
      <c r="L19" s="18"/>
      <c r="M19" s="18"/>
      <c r="N19" s="19"/>
      <c r="O19" s="19"/>
      <c r="P19" s="19"/>
      <c r="Q19" s="19"/>
      <c r="R19" s="19"/>
      <c r="S19" s="19"/>
      <c r="T19" s="19"/>
      <c r="U19" s="19"/>
      <c r="V19" s="18"/>
      <c r="W19" s="18"/>
      <c r="X19" s="19"/>
      <c r="Y19" s="19"/>
      <c r="Z19" s="19"/>
      <c r="AA19" s="19"/>
      <c r="AB19" s="19"/>
      <c r="AC19" s="19"/>
      <c r="AD19" s="19"/>
      <c r="AE19" s="67"/>
      <c r="AF19" s="18"/>
      <c r="AG19" s="18"/>
      <c r="AH19" s="19"/>
      <c r="AI19" s="19"/>
      <c r="AJ19" s="68"/>
      <c r="AK19" s="19"/>
      <c r="AL19" s="19"/>
      <c r="AM19" s="19"/>
      <c r="AN19" s="18"/>
      <c r="AO19" s="18"/>
      <c r="AP19" s="19"/>
      <c r="AQ19" s="19"/>
      <c r="AR19" s="19"/>
      <c r="AS19" s="19"/>
      <c r="AT19" s="19"/>
      <c r="AU19" s="19"/>
      <c r="AV19" s="31">
        <f t="shared" si="0"/>
        <v>2.7</v>
      </c>
      <c r="AW19" s="21"/>
      <c r="AX19" s="32" t="s">
        <v>132</v>
      </c>
    </row>
    <row r="20" spans="1:50" s="63" customFormat="1" ht="39" customHeight="1" x14ac:dyDescent="0.25">
      <c r="A20" s="58" t="s">
        <v>124</v>
      </c>
      <c r="B20" s="59">
        <f>SUM(B21:B22)/2</f>
        <v>22.705862600776175</v>
      </c>
      <c r="C20" s="60">
        <v>0.7</v>
      </c>
      <c r="D20" s="59">
        <v>25.02</v>
      </c>
      <c r="E20" s="60">
        <v>1</v>
      </c>
      <c r="F20" s="59">
        <v>94.379663976234639</v>
      </c>
      <c r="G20" s="60">
        <v>0.7</v>
      </c>
      <c r="H20" s="59">
        <v>12.56</v>
      </c>
      <c r="I20" s="60">
        <v>1</v>
      </c>
      <c r="J20" s="61">
        <f>1/1</f>
        <v>1</v>
      </c>
      <c r="K20" s="43">
        <v>1</v>
      </c>
      <c r="L20" s="43">
        <v>0</v>
      </c>
      <c r="M20" s="43">
        <v>1</v>
      </c>
      <c r="N20" s="43">
        <v>0</v>
      </c>
      <c r="O20" s="43">
        <v>1</v>
      </c>
      <c r="P20" s="43">
        <v>1</v>
      </c>
      <c r="Q20" s="43">
        <v>0</v>
      </c>
      <c r="R20" s="43">
        <v>0</v>
      </c>
      <c r="S20" s="43">
        <v>1</v>
      </c>
      <c r="T20" s="43">
        <f>100*2/2</f>
        <v>100</v>
      </c>
      <c r="U20" s="43">
        <v>1</v>
      </c>
      <c r="V20" s="43" t="s">
        <v>92</v>
      </c>
      <c r="W20" s="43">
        <v>1</v>
      </c>
      <c r="X20" s="43" t="s">
        <v>93</v>
      </c>
      <c r="Y20" s="43">
        <v>1</v>
      </c>
      <c r="Z20" s="43">
        <v>0</v>
      </c>
      <c r="AA20" s="43">
        <v>1</v>
      </c>
      <c r="AB20" s="43">
        <v>0</v>
      </c>
      <c r="AC20" s="43">
        <v>0</v>
      </c>
      <c r="AD20" s="31">
        <v>99.52</v>
      </c>
      <c r="AE20" s="60">
        <v>1</v>
      </c>
      <c r="AF20" s="43" t="s">
        <v>99</v>
      </c>
      <c r="AG20" s="43">
        <v>1</v>
      </c>
      <c r="AH20" s="43">
        <v>0</v>
      </c>
      <c r="AI20" s="43">
        <v>1</v>
      </c>
      <c r="AJ20" s="62">
        <v>0</v>
      </c>
      <c r="AK20" s="43">
        <v>1</v>
      </c>
      <c r="AL20" s="43">
        <v>0</v>
      </c>
      <c r="AM20" s="43">
        <v>1</v>
      </c>
      <c r="AN20" s="43">
        <v>0</v>
      </c>
      <c r="AO20" s="43">
        <v>1</v>
      </c>
      <c r="AP20" s="43">
        <v>0</v>
      </c>
      <c r="AQ20" s="43">
        <v>1</v>
      </c>
      <c r="AR20" s="43" t="s">
        <v>101</v>
      </c>
      <c r="AS20" s="43">
        <v>1</v>
      </c>
      <c r="AT20" s="43" t="s">
        <v>101</v>
      </c>
      <c r="AU20" s="43">
        <v>1</v>
      </c>
      <c r="AV20" s="31">
        <f t="shared" si="0"/>
        <v>20.399999999999999</v>
      </c>
      <c r="AW20" s="31">
        <v>0.83</v>
      </c>
      <c r="AX20" s="32" t="s">
        <v>133</v>
      </c>
    </row>
    <row r="21" spans="1:50" s="32" customFormat="1" ht="21.75" hidden="1" customHeight="1" x14ac:dyDescent="0.25">
      <c r="A21" s="11" t="s">
        <v>91</v>
      </c>
      <c r="B21" s="65">
        <f>36*(1-(262726468.13/6916896749.61))</f>
        <v>34.632601700580061</v>
      </c>
      <c r="C21" s="14">
        <v>0.3</v>
      </c>
      <c r="D21" s="65">
        <v>-3.7688815047992925</v>
      </c>
      <c r="E21" s="14">
        <v>1</v>
      </c>
      <c r="F21" s="65">
        <v>94.368871354279449</v>
      </c>
      <c r="G21" s="14">
        <v>0.7</v>
      </c>
      <c r="H21" s="65">
        <v>679.29492135007695</v>
      </c>
      <c r="I21" s="14">
        <v>0</v>
      </c>
      <c r="J21" s="18"/>
      <c r="K21" s="18"/>
      <c r="L21" s="18"/>
      <c r="M21" s="18"/>
      <c r="N21" s="18"/>
      <c r="O21" s="18"/>
      <c r="P21" s="18">
        <v>1</v>
      </c>
      <c r="Q21" s="18">
        <v>0</v>
      </c>
      <c r="R21" s="18"/>
      <c r="S21" s="18"/>
      <c r="T21" s="19"/>
      <c r="U21" s="19"/>
      <c r="V21" s="18"/>
      <c r="W21" s="18"/>
      <c r="X21" s="19"/>
      <c r="Y21" s="19"/>
      <c r="Z21" s="18">
        <v>0</v>
      </c>
      <c r="AA21" s="18">
        <v>0</v>
      </c>
      <c r="AB21" s="18">
        <v>0</v>
      </c>
      <c r="AC21" s="18">
        <v>0</v>
      </c>
      <c r="AD21" s="37"/>
      <c r="AE21" s="67"/>
      <c r="AF21" s="18"/>
      <c r="AG21" s="18"/>
      <c r="AH21" s="18"/>
      <c r="AI21" s="18"/>
      <c r="AJ21" s="69"/>
      <c r="AK21" s="18"/>
      <c r="AL21" s="18"/>
      <c r="AM21" s="18"/>
      <c r="AN21" s="18"/>
      <c r="AO21" s="18"/>
      <c r="AP21" s="18"/>
      <c r="AQ21" s="18"/>
      <c r="AR21" s="19"/>
      <c r="AS21" s="19"/>
      <c r="AT21" s="19"/>
      <c r="AU21" s="19"/>
      <c r="AV21" s="31">
        <f t="shared" si="0"/>
        <v>2</v>
      </c>
      <c r="AW21" s="21"/>
      <c r="AX21" s="32" t="s">
        <v>133</v>
      </c>
    </row>
    <row r="22" spans="1:50" s="32" customFormat="1" ht="18.75" hidden="1" customHeight="1" x14ac:dyDescent="0.25">
      <c r="A22" s="11" t="s">
        <v>94</v>
      </c>
      <c r="B22" s="65">
        <f>11*(1-(138889085.29/6916896749.61))</f>
        <v>10.77912350097229</v>
      </c>
      <c r="C22" s="14">
        <v>0.7</v>
      </c>
      <c r="D22" s="65">
        <v>103.92990387272371</v>
      </c>
      <c r="E22" s="14">
        <v>0</v>
      </c>
      <c r="F22" s="65">
        <v>94.406397110842875</v>
      </c>
      <c r="G22" s="14">
        <v>0.7</v>
      </c>
      <c r="H22" s="65">
        <v>209.63088223658511</v>
      </c>
      <c r="I22" s="14">
        <v>0</v>
      </c>
      <c r="J22" s="18"/>
      <c r="K22" s="18"/>
      <c r="L22" s="18"/>
      <c r="M22" s="18"/>
      <c r="N22" s="19"/>
      <c r="O22" s="19"/>
      <c r="P22" s="19"/>
      <c r="Q22" s="19"/>
      <c r="R22" s="18"/>
      <c r="S22" s="18"/>
      <c r="T22" s="19"/>
      <c r="U22" s="19"/>
      <c r="V22" s="18"/>
      <c r="W22" s="18"/>
      <c r="X22" s="19"/>
      <c r="Y22" s="19"/>
      <c r="Z22" s="18"/>
      <c r="AA22" s="18"/>
      <c r="AB22" s="19"/>
      <c r="AC22" s="19"/>
      <c r="AD22" s="19"/>
      <c r="AE22" s="67"/>
      <c r="AF22" s="18"/>
      <c r="AG22" s="18"/>
      <c r="AH22" s="19"/>
      <c r="AI22" s="19"/>
      <c r="AJ22" s="68"/>
      <c r="AK22" s="19"/>
      <c r="AL22" s="18"/>
      <c r="AM22" s="18"/>
      <c r="AN22" s="18"/>
      <c r="AO22" s="18"/>
      <c r="AP22" s="18"/>
      <c r="AQ22" s="18"/>
      <c r="AR22" s="19"/>
      <c r="AS22" s="19"/>
      <c r="AT22" s="19"/>
      <c r="AU22" s="19"/>
      <c r="AV22" s="31">
        <f t="shared" si="0"/>
        <v>1.4</v>
      </c>
      <c r="AW22" s="21"/>
      <c r="AX22" s="32" t="s">
        <v>135</v>
      </c>
    </row>
    <row r="23" spans="1:50" s="63" customFormat="1" ht="39" customHeight="1" x14ac:dyDescent="0.25">
      <c r="A23" s="58" t="s">
        <v>125</v>
      </c>
      <c r="B23" s="59">
        <f>SUM(B24:B31)/8</f>
        <v>14.252752825173525</v>
      </c>
      <c r="C23" s="60">
        <v>0.7</v>
      </c>
      <c r="D23" s="59">
        <v>9.8101089731107294</v>
      </c>
      <c r="E23" s="60">
        <v>1</v>
      </c>
      <c r="F23" s="59">
        <v>97.218438949819003</v>
      </c>
      <c r="G23" s="60">
        <v>1</v>
      </c>
      <c r="H23" s="59">
        <v>94.68</v>
      </c>
      <c r="I23" s="60">
        <v>0</v>
      </c>
      <c r="J23" s="61">
        <v>1</v>
      </c>
      <c r="K23" s="43">
        <v>1</v>
      </c>
      <c r="L23" s="43">
        <v>0</v>
      </c>
      <c r="M23" s="43">
        <v>1</v>
      </c>
      <c r="N23" s="43">
        <v>1</v>
      </c>
      <c r="O23" s="43">
        <v>0</v>
      </c>
      <c r="P23" s="43">
        <v>0</v>
      </c>
      <c r="Q23" s="43">
        <v>1</v>
      </c>
      <c r="R23" s="43">
        <v>0</v>
      </c>
      <c r="S23" s="43">
        <v>1</v>
      </c>
      <c r="T23" s="43">
        <f>100*7/7</f>
        <v>100</v>
      </c>
      <c r="U23" s="43">
        <v>1</v>
      </c>
      <c r="V23" s="43" t="s">
        <v>92</v>
      </c>
      <c r="W23" s="43">
        <v>1</v>
      </c>
      <c r="X23" s="43" t="s">
        <v>93</v>
      </c>
      <c r="Y23" s="43">
        <v>1</v>
      </c>
      <c r="Z23" s="43">
        <v>0</v>
      </c>
      <c r="AA23" s="43">
        <v>1</v>
      </c>
      <c r="AB23" s="43" t="s">
        <v>101</v>
      </c>
      <c r="AC23" s="43">
        <v>1</v>
      </c>
      <c r="AD23" s="31">
        <v>104.29</v>
      </c>
      <c r="AE23" s="60">
        <v>1</v>
      </c>
      <c r="AF23" s="43" t="s">
        <v>99</v>
      </c>
      <c r="AG23" s="43">
        <v>1</v>
      </c>
      <c r="AH23" s="43">
        <v>0</v>
      </c>
      <c r="AI23" s="43">
        <v>1</v>
      </c>
      <c r="AJ23" s="62">
        <v>1</v>
      </c>
      <c r="AK23" s="43">
        <v>0</v>
      </c>
      <c r="AL23" s="43">
        <v>0</v>
      </c>
      <c r="AM23" s="43" t="s">
        <v>100</v>
      </c>
      <c r="AN23" s="43">
        <v>0</v>
      </c>
      <c r="AO23" s="43">
        <v>1</v>
      </c>
      <c r="AP23" s="43">
        <v>0</v>
      </c>
      <c r="AQ23" s="43">
        <v>1</v>
      </c>
      <c r="AR23" s="43">
        <v>0</v>
      </c>
      <c r="AS23" s="43">
        <v>1</v>
      </c>
      <c r="AT23" s="43" t="s">
        <v>98</v>
      </c>
      <c r="AU23" s="43">
        <v>1</v>
      </c>
      <c r="AV23" s="31">
        <f t="shared" si="0"/>
        <v>19.7</v>
      </c>
      <c r="AW23" s="31">
        <v>0.84</v>
      </c>
      <c r="AX23" s="32" t="s">
        <v>133</v>
      </c>
    </row>
    <row r="24" spans="1:50" s="32" customFormat="1" ht="18.75" hidden="1" customHeight="1" x14ac:dyDescent="0.25">
      <c r="A24" s="11" t="s">
        <v>20</v>
      </c>
      <c r="B24" s="65">
        <f>33*(1-(421618470.14/6916896749.61))</f>
        <v>30.988489633677922</v>
      </c>
      <c r="C24" s="14">
        <v>0.3</v>
      </c>
      <c r="D24" s="65">
        <v>-45.297396055799162</v>
      </c>
      <c r="E24" s="14">
        <v>1</v>
      </c>
      <c r="F24" s="65">
        <v>98.202276706476425</v>
      </c>
      <c r="G24" s="14">
        <v>1</v>
      </c>
      <c r="H24" s="65">
        <v>133.74113812755186</v>
      </c>
      <c r="I24" s="14">
        <v>0</v>
      </c>
      <c r="J24" s="19"/>
      <c r="K24" s="19"/>
      <c r="L24" s="18">
        <v>0</v>
      </c>
      <c r="M24" s="18">
        <v>1</v>
      </c>
      <c r="N24" s="18">
        <v>1</v>
      </c>
      <c r="O24" s="18">
        <v>0</v>
      </c>
      <c r="P24" s="19"/>
      <c r="Q24" s="19"/>
      <c r="R24" s="19"/>
      <c r="S24" s="19"/>
      <c r="T24" s="19"/>
      <c r="U24" s="19"/>
      <c r="V24" s="18"/>
      <c r="W24" s="18"/>
      <c r="X24" s="18"/>
      <c r="Y24" s="18"/>
      <c r="Z24" s="18">
        <v>0</v>
      </c>
      <c r="AA24" s="18">
        <v>0</v>
      </c>
      <c r="AB24" s="19"/>
      <c r="AC24" s="19"/>
      <c r="AD24" s="37"/>
      <c r="AE24" s="67"/>
      <c r="AF24" s="18"/>
      <c r="AG24" s="18"/>
      <c r="AH24" s="19"/>
      <c r="AI24" s="19"/>
      <c r="AJ24" s="68"/>
      <c r="AK24" s="19"/>
      <c r="AL24" s="18"/>
      <c r="AM24" s="18"/>
      <c r="AN24" s="19"/>
      <c r="AO24" s="19"/>
      <c r="AP24" s="19"/>
      <c r="AQ24" s="19"/>
      <c r="AR24" s="19"/>
      <c r="AS24" s="19"/>
      <c r="AT24" s="19"/>
      <c r="AU24" s="19"/>
      <c r="AV24" s="31">
        <f t="shared" si="0"/>
        <v>3.3</v>
      </c>
      <c r="AW24" s="21"/>
      <c r="AX24" s="32" t="s">
        <v>133</v>
      </c>
    </row>
    <row r="25" spans="1:50" s="32" customFormat="1" ht="18.75" hidden="1" customHeight="1" x14ac:dyDescent="0.25">
      <c r="A25" s="11" t="s">
        <v>6</v>
      </c>
      <c r="B25" s="65">
        <f>28*(1-113434036.36/6916896749.61)</f>
        <v>27.540812428888856</v>
      </c>
      <c r="C25" s="14">
        <v>0.5</v>
      </c>
      <c r="D25" s="65">
        <v>71.152677586546844</v>
      </c>
      <c r="E25" s="14">
        <v>0</v>
      </c>
      <c r="F25" s="65">
        <v>97.602761990768556</v>
      </c>
      <c r="G25" s="14">
        <v>1</v>
      </c>
      <c r="H25" s="65">
        <v>75.285711100674845</v>
      </c>
      <c r="I25" s="14">
        <v>0</v>
      </c>
      <c r="J25" s="19"/>
      <c r="K25" s="19"/>
      <c r="L25" s="18"/>
      <c r="M25" s="18"/>
      <c r="N25" s="19"/>
      <c r="O25" s="19"/>
      <c r="P25" s="19"/>
      <c r="Q25" s="19"/>
      <c r="R25" s="19"/>
      <c r="S25" s="19"/>
      <c r="T25" s="19"/>
      <c r="U25" s="19"/>
      <c r="V25" s="18"/>
      <c r="W25" s="18"/>
      <c r="X25" s="18"/>
      <c r="Y25" s="18"/>
      <c r="Z25" s="19"/>
      <c r="AA25" s="19"/>
      <c r="AB25" s="19"/>
      <c r="AC25" s="19"/>
      <c r="AD25" s="19"/>
      <c r="AE25" s="67"/>
      <c r="AF25" s="18"/>
      <c r="AG25" s="18"/>
      <c r="AH25" s="19"/>
      <c r="AI25" s="19"/>
      <c r="AJ25" s="68"/>
      <c r="AK25" s="19"/>
      <c r="AL25" s="18"/>
      <c r="AM25" s="18"/>
      <c r="AN25" s="19"/>
      <c r="AO25" s="19"/>
      <c r="AP25" s="19"/>
      <c r="AQ25" s="19"/>
      <c r="AR25" s="19"/>
      <c r="AS25" s="19"/>
      <c r="AT25" s="19"/>
      <c r="AU25" s="19"/>
      <c r="AV25" s="31">
        <f t="shared" si="0"/>
        <v>1.5</v>
      </c>
      <c r="AW25" s="21"/>
      <c r="AX25" s="32" t="s">
        <v>134</v>
      </c>
    </row>
    <row r="26" spans="1:50" s="32" customFormat="1" ht="18.75" hidden="1" customHeight="1" x14ac:dyDescent="0.25">
      <c r="A26" s="11" t="s">
        <v>0</v>
      </c>
      <c r="B26" s="65">
        <f>12*(1-(164986702.55/6916896749.61))</f>
        <v>11.713767531557901</v>
      </c>
      <c r="C26" s="14">
        <v>0.7</v>
      </c>
      <c r="D26" s="65">
        <v>90.60308431948468</v>
      </c>
      <c r="E26" s="14">
        <v>0</v>
      </c>
      <c r="F26" s="65">
        <v>94.601607082148206</v>
      </c>
      <c r="G26" s="14">
        <v>0.7</v>
      </c>
      <c r="H26" s="65">
        <v>65.952254903781409</v>
      </c>
      <c r="I26" s="14">
        <v>0</v>
      </c>
      <c r="J26" s="19"/>
      <c r="K26" s="19"/>
      <c r="L26" s="18"/>
      <c r="M26" s="18"/>
      <c r="N26" s="18"/>
      <c r="O26" s="18"/>
      <c r="P26" s="18"/>
      <c r="Q26" s="18"/>
      <c r="R26" s="19"/>
      <c r="S26" s="19"/>
      <c r="T26" s="19"/>
      <c r="U26" s="19"/>
      <c r="V26" s="18"/>
      <c r="W26" s="18"/>
      <c r="X26" s="18"/>
      <c r="Y26" s="18"/>
      <c r="Z26" s="19"/>
      <c r="AA26" s="19"/>
      <c r="AB26" s="19"/>
      <c r="AC26" s="19"/>
      <c r="AD26" s="19"/>
      <c r="AE26" s="67"/>
      <c r="AF26" s="18"/>
      <c r="AG26" s="18"/>
      <c r="AH26" s="19"/>
      <c r="AI26" s="19"/>
      <c r="AJ26" s="68"/>
      <c r="AK26" s="19"/>
      <c r="AL26" s="18"/>
      <c r="AM26" s="18"/>
      <c r="AN26" s="19"/>
      <c r="AO26" s="19"/>
      <c r="AP26" s="19"/>
      <c r="AQ26" s="19"/>
      <c r="AR26" s="19"/>
      <c r="AS26" s="19"/>
      <c r="AT26" s="19"/>
      <c r="AU26" s="19"/>
      <c r="AV26" s="31">
        <f t="shared" si="0"/>
        <v>1.4</v>
      </c>
      <c r="AW26" s="21"/>
      <c r="AX26" s="32" t="s">
        <v>134</v>
      </c>
    </row>
    <row r="27" spans="1:50" s="32" customFormat="1" ht="18.75" hidden="1" customHeight="1" x14ac:dyDescent="0.25">
      <c r="A27" s="11" t="s">
        <v>1</v>
      </c>
      <c r="B27" s="65">
        <f>7*(1-(62158468.82/6916896749.61))</f>
        <v>6.937094726509466</v>
      </c>
      <c r="C27" s="14">
        <v>1</v>
      </c>
      <c r="D27" s="65">
        <v>49.693450807130091</v>
      </c>
      <c r="E27" s="14">
        <v>0</v>
      </c>
      <c r="F27" s="65">
        <v>98.026759051470933</v>
      </c>
      <c r="G27" s="14">
        <v>1</v>
      </c>
      <c r="H27" s="65">
        <v>72.376601631382471</v>
      </c>
      <c r="I27" s="14">
        <v>0</v>
      </c>
      <c r="J27" s="19"/>
      <c r="K27" s="19"/>
      <c r="L27" s="18"/>
      <c r="M27" s="18"/>
      <c r="N27" s="18"/>
      <c r="O27" s="18"/>
      <c r="P27" s="18"/>
      <c r="Q27" s="18"/>
      <c r="R27" s="19"/>
      <c r="S27" s="19"/>
      <c r="T27" s="19"/>
      <c r="U27" s="19"/>
      <c r="V27" s="18"/>
      <c r="W27" s="18"/>
      <c r="X27" s="18"/>
      <c r="Y27" s="18"/>
      <c r="Z27" s="19"/>
      <c r="AA27" s="19"/>
      <c r="AB27" s="19"/>
      <c r="AC27" s="19"/>
      <c r="AD27" s="19"/>
      <c r="AE27" s="67"/>
      <c r="AF27" s="18"/>
      <c r="AG27" s="18"/>
      <c r="AH27" s="19"/>
      <c r="AI27" s="19"/>
      <c r="AJ27" s="68"/>
      <c r="AK27" s="19"/>
      <c r="AL27" s="18"/>
      <c r="AM27" s="18"/>
      <c r="AN27" s="19"/>
      <c r="AO27" s="19"/>
      <c r="AP27" s="19"/>
      <c r="AQ27" s="19"/>
      <c r="AR27" s="19"/>
      <c r="AS27" s="19"/>
      <c r="AT27" s="19"/>
      <c r="AU27" s="19"/>
      <c r="AV27" s="31">
        <f t="shared" si="0"/>
        <v>2</v>
      </c>
      <c r="AW27" s="21"/>
      <c r="AX27" s="32" t="s">
        <v>134</v>
      </c>
    </row>
    <row r="28" spans="1:50" s="32" customFormat="1" ht="18.75" hidden="1" customHeight="1" x14ac:dyDescent="0.25">
      <c r="A28" s="11" t="s">
        <v>2</v>
      </c>
      <c r="B28" s="65">
        <f>7*(1-(34258300.73/6916896749.61))</f>
        <v>6.9653301019530875</v>
      </c>
      <c r="C28" s="14">
        <v>1</v>
      </c>
      <c r="D28" s="65">
        <v>76.418285781989468</v>
      </c>
      <c r="E28" s="14">
        <v>0</v>
      </c>
      <c r="F28" s="65">
        <v>95.104084356227361</v>
      </c>
      <c r="G28" s="14">
        <v>1</v>
      </c>
      <c r="H28" s="65">
        <v>4773</v>
      </c>
      <c r="I28" s="14">
        <v>0</v>
      </c>
      <c r="J28" s="19"/>
      <c r="K28" s="19"/>
      <c r="L28" s="18"/>
      <c r="M28" s="18"/>
      <c r="N28" s="18"/>
      <c r="O28" s="18"/>
      <c r="P28" s="18">
        <v>1</v>
      </c>
      <c r="Q28" s="18">
        <v>0</v>
      </c>
      <c r="R28" s="19"/>
      <c r="S28" s="19"/>
      <c r="T28" s="19"/>
      <c r="U28" s="19"/>
      <c r="V28" s="18"/>
      <c r="W28" s="18"/>
      <c r="X28" s="18"/>
      <c r="Y28" s="18"/>
      <c r="Z28" s="19"/>
      <c r="AA28" s="19"/>
      <c r="AB28" s="19"/>
      <c r="AC28" s="19"/>
      <c r="AD28" s="19"/>
      <c r="AE28" s="67"/>
      <c r="AF28" s="18"/>
      <c r="AG28" s="18"/>
      <c r="AH28" s="19"/>
      <c r="AI28" s="19"/>
      <c r="AJ28" s="68"/>
      <c r="AK28" s="19"/>
      <c r="AL28" s="18"/>
      <c r="AM28" s="18"/>
      <c r="AN28" s="19"/>
      <c r="AO28" s="19"/>
      <c r="AP28" s="19"/>
      <c r="AQ28" s="19"/>
      <c r="AR28" s="19"/>
      <c r="AS28" s="19"/>
      <c r="AT28" s="19"/>
      <c r="AU28" s="19"/>
      <c r="AV28" s="31">
        <f t="shared" si="0"/>
        <v>2</v>
      </c>
      <c r="AW28" s="21"/>
      <c r="AX28" s="32" t="s">
        <v>133</v>
      </c>
    </row>
    <row r="29" spans="1:50" s="32" customFormat="1" ht="18.75" hidden="1" customHeight="1" x14ac:dyDescent="0.25">
      <c r="A29" s="11" t="s">
        <v>3</v>
      </c>
      <c r="B29" s="65">
        <f>10*(1-(26246446.96/6916896749.61))</f>
        <v>9.9620545919505314</v>
      </c>
      <c r="C29" s="14">
        <v>1</v>
      </c>
      <c r="D29" s="65">
        <v>107.56989878076266</v>
      </c>
      <c r="E29" s="14">
        <v>0</v>
      </c>
      <c r="F29" s="65">
        <v>98.019679343169202</v>
      </c>
      <c r="G29" s="14">
        <v>1</v>
      </c>
      <c r="H29" s="65">
        <v>43.484039137328054</v>
      </c>
      <c r="I29" s="14">
        <v>0</v>
      </c>
      <c r="J29" s="19"/>
      <c r="K29" s="19"/>
      <c r="L29" s="18"/>
      <c r="M29" s="18"/>
      <c r="N29" s="18"/>
      <c r="O29" s="18"/>
      <c r="P29" s="18"/>
      <c r="Q29" s="18"/>
      <c r="R29" s="19"/>
      <c r="S29" s="19"/>
      <c r="T29" s="19"/>
      <c r="U29" s="19"/>
      <c r="V29" s="18"/>
      <c r="W29" s="18"/>
      <c r="X29" s="18"/>
      <c r="Y29" s="18"/>
      <c r="Z29" s="19"/>
      <c r="AA29" s="19"/>
      <c r="AB29" s="19"/>
      <c r="AC29" s="19"/>
      <c r="AD29" s="19"/>
      <c r="AE29" s="67"/>
      <c r="AF29" s="18"/>
      <c r="AG29" s="18"/>
      <c r="AH29" s="19"/>
      <c r="AI29" s="19"/>
      <c r="AJ29" s="68"/>
      <c r="AK29" s="19"/>
      <c r="AL29" s="18"/>
      <c r="AM29" s="18"/>
      <c r="AN29" s="19"/>
      <c r="AO29" s="19"/>
      <c r="AP29" s="19"/>
      <c r="AQ29" s="19"/>
      <c r="AR29" s="19"/>
      <c r="AS29" s="19"/>
      <c r="AT29" s="19"/>
      <c r="AU29" s="19"/>
      <c r="AV29" s="31">
        <f t="shared" si="0"/>
        <v>2</v>
      </c>
      <c r="AW29" s="21"/>
      <c r="AX29" s="32" t="s">
        <v>134</v>
      </c>
    </row>
    <row r="30" spans="1:50" s="32" customFormat="1" ht="18.75" hidden="1" customHeight="1" x14ac:dyDescent="0.25">
      <c r="A30" s="11" t="s">
        <v>4</v>
      </c>
      <c r="B30" s="65">
        <f>8*(1-(24092588/6916896749.61))</f>
        <v>7.9721348010564324</v>
      </c>
      <c r="C30" s="14">
        <v>1</v>
      </c>
      <c r="D30" s="65">
        <v>111.57774040797349</v>
      </c>
      <c r="E30" s="14">
        <v>0</v>
      </c>
      <c r="F30" s="65">
        <v>97.869988075947973</v>
      </c>
      <c r="G30" s="14">
        <v>1</v>
      </c>
      <c r="H30" s="65">
        <v>0</v>
      </c>
      <c r="I30" s="14">
        <v>1</v>
      </c>
      <c r="J30" s="19"/>
      <c r="K30" s="19"/>
      <c r="L30" s="18"/>
      <c r="M30" s="18"/>
      <c r="N30" s="18"/>
      <c r="O30" s="18"/>
      <c r="P30" s="18"/>
      <c r="Q30" s="18"/>
      <c r="R30" s="19"/>
      <c r="S30" s="19"/>
      <c r="T30" s="19"/>
      <c r="U30" s="19"/>
      <c r="V30" s="18"/>
      <c r="W30" s="18"/>
      <c r="X30" s="18"/>
      <c r="Y30" s="18"/>
      <c r="Z30" s="19"/>
      <c r="AA30" s="19"/>
      <c r="AB30" s="19"/>
      <c r="AC30" s="19"/>
      <c r="AD30" s="19"/>
      <c r="AE30" s="67"/>
      <c r="AF30" s="18"/>
      <c r="AG30" s="18"/>
      <c r="AH30" s="19"/>
      <c r="AI30" s="19"/>
      <c r="AJ30" s="68"/>
      <c r="AK30" s="19"/>
      <c r="AL30" s="18"/>
      <c r="AM30" s="18"/>
      <c r="AN30" s="19"/>
      <c r="AO30" s="19"/>
      <c r="AP30" s="19"/>
      <c r="AQ30" s="19"/>
      <c r="AR30" s="19"/>
      <c r="AS30" s="19"/>
      <c r="AT30" s="19"/>
      <c r="AU30" s="19"/>
      <c r="AV30" s="31">
        <f t="shared" si="0"/>
        <v>3</v>
      </c>
      <c r="AW30" s="21"/>
      <c r="AX30" s="32" t="s">
        <v>133</v>
      </c>
    </row>
    <row r="31" spans="1:50" s="32" customFormat="1" ht="18.75" hidden="1" customHeight="1" x14ac:dyDescent="0.25">
      <c r="A31" s="11" t="s">
        <v>5</v>
      </c>
      <c r="B31" s="65">
        <f>12*(1-(33236388.76/6916896749.61))</f>
        <v>11.942338785794007</v>
      </c>
      <c r="C31" s="14">
        <v>0.7</v>
      </c>
      <c r="D31" s="65">
        <v>54.937880108773136</v>
      </c>
      <c r="E31" s="14">
        <v>0</v>
      </c>
      <c r="F31" s="65">
        <v>96.110947566361375</v>
      </c>
      <c r="G31" s="14">
        <v>1</v>
      </c>
      <c r="H31" s="65">
        <v>317.44236275435503</v>
      </c>
      <c r="I31" s="14">
        <v>0</v>
      </c>
      <c r="J31" s="19"/>
      <c r="K31" s="19"/>
      <c r="L31" s="18"/>
      <c r="M31" s="18"/>
      <c r="N31" s="18"/>
      <c r="O31" s="18"/>
      <c r="P31" s="18"/>
      <c r="Q31" s="18"/>
      <c r="R31" s="19"/>
      <c r="S31" s="19"/>
      <c r="T31" s="19"/>
      <c r="U31" s="19"/>
      <c r="V31" s="18"/>
      <c r="W31" s="18"/>
      <c r="X31" s="18"/>
      <c r="Y31" s="18"/>
      <c r="Z31" s="19"/>
      <c r="AA31" s="19"/>
      <c r="AB31" s="19"/>
      <c r="AC31" s="19"/>
      <c r="AD31" s="19"/>
      <c r="AE31" s="67"/>
      <c r="AF31" s="18"/>
      <c r="AG31" s="18"/>
      <c r="AH31" s="19"/>
      <c r="AI31" s="19"/>
      <c r="AJ31" s="68"/>
      <c r="AK31" s="19"/>
      <c r="AL31" s="18"/>
      <c r="AM31" s="18"/>
      <c r="AN31" s="19"/>
      <c r="AO31" s="19"/>
      <c r="AP31" s="19"/>
      <c r="AQ31" s="19"/>
      <c r="AR31" s="19"/>
      <c r="AS31" s="19"/>
      <c r="AT31" s="19"/>
      <c r="AU31" s="19"/>
      <c r="AV31" s="31">
        <f t="shared" si="0"/>
        <v>1.7</v>
      </c>
      <c r="AW31" s="21"/>
      <c r="AX31" s="32" t="s">
        <v>134</v>
      </c>
    </row>
    <row r="32" spans="1:50" s="63" customFormat="1" ht="48" customHeight="1" x14ac:dyDescent="0.25">
      <c r="A32" s="58" t="s">
        <v>126</v>
      </c>
      <c r="B32" s="59">
        <f>SUM(B33:B57)/25</f>
        <v>8.0067402146122575</v>
      </c>
      <c r="C32" s="60">
        <v>1</v>
      </c>
      <c r="D32" s="59">
        <v>-19.489999999999998</v>
      </c>
      <c r="E32" s="60">
        <v>1</v>
      </c>
      <c r="F32" s="59">
        <v>95.921582819669695</v>
      </c>
      <c r="G32" s="60">
        <v>1</v>
      </c>
      <c r="H32" s="59">
        <v>76.653277362764612</v>
      </c>
      <c r="I32" s="60">
        <v>0</v>
      </c>
      <c r="J32" s="61">
        <f>1/1</f>
        <v>1</v>
      </c>
      <c r="K32" s="43">
        <v>1</v>
      </c>
      <c r="L32" s="43">
        <v>0</v>
      </c>
      <c r="M32" s="43">
        <v>1</v>
      </c>
      <c r="N32" s="43">
        <v>1</v>
      </c>
      <c r="O32" s="43">
        <v>0</v>
      </c>
      <c r="P32" s="43">
        <v>0</v>
      </c>
      <c r="Q32" s="43">
        <v>1</v>
      </c>
      <c r="R32" s="43">
        <v>0</v>
      </c>
      <c r="S32" s="43">
        <v>1</v>
      </c>
      <c r="T32" s="43">
        <f>100*19/19</f>
        <v>100</v>
      </c>
      <c r="U32" s="43">
        <v>1</v>
      </c>
      <c r="V32" s="43" t="s">
        <v>92</v>
      </c>
      <c r="W32" s="43">
        <v>1</v>
      </c>
      <c r="X32" s="43" t="s">
        <v>93</v>
      </c>
      <c r="Y32" s="43">
        <v>1</v>
      </c>
      <c r="Z32" s="43">
        <v>0</v>
      </c>
      <c r="AA32" s="43">
        <v>1</v>
      </c>
      <c r="AB32" s="43">
        <v>1</v>
      </c>
      <c r="AC32" s="43">
        <v>1</v>
      </c>
      <c r="AD32" s="31">
        <v>101.69</v>
      </c>
      <c r="AE32" s="60">
        <v>1</v>
      </c>
      <c r="AF32" s="43" t="s">
        <v>99</v>
      </c>
      <c r="AG32" s="43">
        <v>1</v>
      </c>
      <c r="AH32" s="43">
        <v>0</v>
      </c>
      <c r="AI32" s="43">
        <v>1</v>
      </c>
      <c r="AJ32" s="62">
        <v>0</v>
      </c>
      <c r="AK32" s="43">
        <v>1</v>
      </c>
      <c r="AL32" s="43">
        <v>0</v>
      </c>
      <c r="AM32" s="43" t="s">
        <v>100</v>
      </c>
      <c r="AN32" s="43">
        <v>0</v>
      </c>
      <c r="AO32" s="43">
        <v>1</v>
      </c>
      <c r="AP32" s="43">
        <v>0</v>
      </c>
      <c r="AQ32" s="43">
        <v>1</v>
      </c>
      <c r="AR32" s="43">
        <v>0</v>
      </c>
      <c r="AS32" s="43">
        <v>1</v>
      </c>
      <c r="AT32" s="43">
        <v>0</v>
      </c>
      <c r="AU32" s="43" t="s">
        <v>100</v>
      </c>
      <c r="AV32" s="31">
        <f t="shared" si="0"/>
        <v>21</v>
      </c>
      <c r="AW32" s="31">
        <v>0.87</v>
      </c>
      <c r="AX32" s="32" t="s">
        <v>133</v>
      </c>
    </row>
    <row r="33" spans="1:50" s="33" customFormat="1" ht="18.75" hidden="1" customHeight="1" x14ac:dyDescent="0.25">
      <c r="A33" s="20" t="s">
        <v>8</v>
      </c>
      <c r="B33" s="21">
        <f>37*(1-(3679741848.84/6916896749.61))</f>
        <v>17.316252600596261</v>
      </c>
      <c r="C33" s="18">
        <v>0.7</v>
      </c>
      <c r="D33" s="21">
        <v>-40.845540276706956</v>
      </c>
      <c r="E33" s="18">
        <v>0</v>
      </c>
      <c r="F33" s="21">
        <v>97.516057162744389</v>
      </c>
      <c r="G33" s="18">
        <v>1</v>
      </c>
      <c r="H33" s="21">
        <v>98.104709676948659</v>
      </c>
      <c r="I33" s="18">
        <v>0</v>
      </c>
      <c r="J33" s="19"/>
      <c r="K33" s="19"/>
      <c r="L33" s="18">
        <v>0</v>
      </c>
      <c r="M33" s="18">
        <v>1</v>
      </c>
      <c r="N33" s="19"/>
      <c r="O33" s="19"/>
      <c r="P33" s="19"/>
      <c r="Q33" s="19"/>
      <c r="R33" s="19"/>
      <c r="S33" s="19"/>
      <c r="T33" s="19"/>
      <c r="U33" s="19"/>
      <c r="V33" s="18"/>
      <c r="W33" s="18"/>
      <c r="X33" s="19"/>
      <c r="Y33" s="19"/>
      <c r="Z33" s="18">
        <v>0</v>
      </c>
      <c r="AA33" s="18">
        <v>0</v>
      </c>
      <c r="AB33" s="18">
        <v>1</v>
      </c>
      <c r="AC33" s="22">
        <v>1</v>
      </c>
      <c r="AD33" s="23"/>
      <c r="AE33" s="24"/>
      <c r="AF33" s="25"/>
      <c r="AG33" s="22"/>
      <c r="AH33" s="26"/>
      <c r="AI33" s="19"/>
      <c r="AJ33" s="22">
        <v>1</v>
      </c>
      <c r="AK33" s="18">
        <v>0</v>
      </c>
      <c r="AL33" s="27"/>
      <c r="AM33" s="28"/>
      <c r="AN33" s="29"/>
      <c r="AO33" s="26"/>
      <c r="AP33" s="26"/>
      <c r="AQ33" s="26"/>
      <c r="AR33" s="62">
        <v>1</v>
      </c>
      <c r="AS33" s="70" t="s">
        <v>98</v>
      </c>
      <c r="AT33" s="23"/>
      <c r="AU33" s="30"/>
      <c r="AV33" s="31">
        <f t="shared" si="0"/>
        <v>3.7</v>
      </c>
      <c r="AW33" s="19"/>
      <c r="AX33" s="32" t="s">
        <v>133</v>
      </c>
    </row>
    <row r="34" spans="1:50" s="33" customFormat="1" ht="18.75" hidden="1" customHeight="1" x14ac:dyDescent="0.25">
      <c r="A34" s="20" t="s">
        <v>7</v>
      </c>
      <c r="B34" s="21">
        <f>17*(1-(67346326.17/6916896749.61))</f>
        <v>16.834479595932301</v>
      </c>
      <c r="C34" s="18">
        <v>0.7</v>
      </c>
      <c r="D34" s="21">
        <v>5.2411402284537303</v>
      </c>
      <c r="E34" s="18">
        <v>1</v>
      </c>
      <c r="F34" s="21">
        <v>92.545867907856191</v>
      </c>
      <c r="G34" s="18">
        <v>0.7</v>
      </c>
      <c r="H34" s="21">
        <v>7.9223097921303403</v>
      </c>
      <c r="I34" s="18">
        <v>1</v>
      </c>
      <c r="J34" s="19"/>
      <c r="K34" s="19"/>
      <c r="L34" s="19"/>
      <c r="M34" s="19"/>
      <c r="N34" s="19"/>
      <c r="O34" s="19"/>
      <c r="P34" s="19"/>
      <c r="Q34" s="19"/>
      <c r="R34" s="19"/>
      <c r="S34" s="19"/>
      <c r="T34" s="19"/>
      <c r="U34" s="19"/>
      <c r="V34" s="18"/>
      <c r="W34" s="18"/>
      <c r="X34" s="19"/>
      <c r="Y34" s="19"/>
      <c r="Z34" s="19"/>
      <c r="AA34" s="19"/>
      <c r="AB34" s="19"/>
      <c r="AC34" s="26"/>
      <c r="AD34" s="23"/>
      <c r="AE34" s="24"/>
      <c r="AF34" s="25"/>
      <c r="AG34" s="22"/>
      <c r="AH34" s="26"/>
      <c r="AI34" s="19"/>
      <c r="AJ34" s="34"/>
      <c r="AK34" s="35"/>
      <c r="AL34" s="27"/>
      <c r="AM34" s="28"/>
      <c r="AN34" s="29"/>
      <c r="AO34" s="26"/>
      <c r="AP34" s="26"/>
      <c r="AQ34" s="26"/>
      <c r="AR34" s="34"/>
      <c r="AS34" s="35"/>
      <c r="AT34" s="23"/>
      <c r="AU34" s="30"/>
      <c r="AV34" s="31">
        <f t="shared" si="0"/>
        <v>3.4</v>
      </c>
      <c r="AW34" s="18"/>
      <c r="AX34" s="32" t="s">
        <v>134</v>
      </c>
    </row>
    <row r="35" spans="1:50" s="33" customFormat="1" ht="18.75" hidden="1" customHeight="1" x14ac:dyDescent="0.25">
      <c r="A35" s="20" t="s">
        <v>9</v>
      </c>
      <c r="B35" s="21">
        <f>18*(1-(71803898.99/6916896749.61))</f>
        <v>17.81314305697958</v>
      </c>
      <c r="C35" s="18">
        <v>0.7</v>
      </c>
      <c r="D35" s="21">
        <v>29.45837537511494</v>
      </c>
      <c r="E35" s="18">
        <v>1</v>
      </c>
      <c r="F35" s="21">
        <v>97.949654536692648</v>
      </c>
      <c r="G35" s="18">
        <v>1</v>
      </c>
      <c r="H35" s="21">
        <v>147.46653804879381</v>
      </c>
      <c r="I35" s="18">
        <v>0</v>
      </c>
      <c r="J35" s="19"/>
      <c r="K35" s="19"/>
      <c r="L35" s="19"/>
      <c r="M35" s="19"/>
      <c r="N35" s="19"/>
      <c r="O35" s="19"/>
      <c r="P35" s="19"/>
      <c r="Q35" s="19"/>
      <c r="R35" s="19"/>
      <c r="S35" s="19"/>
      <c r="T35" s="19"/>
      <c r="U35" s="19"/>
      <c r="V35" s="18"/>
      <c r="W35" s="18"/>
      <c r="X35" s="19"/>
      <c r="Y35" s="19"/>
      <c r="Z35" s="19"/>
      <c r="AA35" s="19"/>
      <c r="AB35" s="19"/>
      <c r="AC35" s="26"/>
      <c r="AD35" s="23"/>
      <c r="AE35" s="24"/>
      <c r="AF35" s="25"/>
      <c r="AG35" s="22"/>
      <c r="AH35" s="26"/>
      <c r="AI35" s="19"/>
      <c r="AJ35" s="34"/>
      <c r="AK35" s="35"/>
      <c r="AL35" s="27"/>
      <c r="AM35" s="28"/>
      <c r="AN35" s="29"/>
      <c r="AO35" s="26"/>
      <c r="AP35" s="26"/>
      <c r="AQ35" s="26"/>
      <c r="AR35" s="34"/>
      <c r="AS35" s="35"/>
      <c r="AT35" s="23"/>
      <c r="AU35" s="30"/>
      <c r="AV35" s="31">
        <f t="shared" si="0"/>
        <v>2.7</v>
      </c>
      <c r="AW35" s="18"/>
      <c r="AX35" s="32" t="s">
        <v>134</v>
      </c>
    </row>
    <row r="36" spans="1:50" s="33" customFormat="1" ht="18.75" hidden="1" customHeight="1" x14ac:dyDescent="0.25">
      <c r="A36" s="20" t="s">
        <v>10</v>
      </c>
      <c r="B36" s="21">
        <f>16*(1-(97953530.86/6916896749.61))</f>
        <v>15.773416237007099</v>
      </c>
      <c r="C36" s="18">
        <v>0.7</v>
      </c>
      <c r="D36" s="21">
        <v>154.65748533251912</v>
      </c>
      <c r="E36" s="18">
        <v>0</v>
      </c>
      <c r="F36" s="21">
        <v>98.738349546866488</v>
      </c>
      <c r="G36" s="18">
        <v>1</v>
      </c>
      <c r="H36" s="21">
        <v>170.89551309379536</v>
      </c>
      <c r="I36" s="18">
        <v>0</v>
      </c>
      <c r="J36" s="19"/>
      <c r="K36" s="19"/>
      <c r="L36" s="19"/>
      <c r="M36" s="19"/>
      <c r="N36" s="19"/>
      <c r="O36" s="19"/>
      <c r="P36" s="19"/>
      <c r="Q36" s="19"/>
      <c r="R36" s="19"/>
      <c r="S36" s="19"/>
      <c r="T36" s="19"/>
      <c r="U36" s="19"/>
      <c r="V36" s="18"/>
      <c r="W36" s="18"/>
      <c r="X36" s="19"/>
      <c r="Y36" s="19"/>
      <c r="Z36" s="19"/>
      <c r="AA36" s="19"/>
      <c r="AB36" s="19"/>
      <c r="AC36" s="26"/>
      <c r="AD36" s="23"/>
      <c r="AE36" s="24"/>
      <c r="AF36" s="25"/>
      <c r="AG36" s="22"/>
      <c r="AH36" s="26"/>
      <c r="AI36" s="19"/>
      <c r="AJ36" s="34"/>
      <c r="AK36" s="35"/>
      <c r="AL36" s="27"/>
      <c r="AM36" s="28"/>
      <c r="AN36" s="29"/>
      <c r="AO36" s="26"/>
      <c r="AP36" s="26"/>
      <c r="AQ36" s="26"/>
      <c r="AR36" s="34"/>
      <c r="AS36" s="35"/>
      <c r="AT36" s="23"/>
      <c r="AU36" s="30"/>
      <c r="AV36" s="31">
        <f t="shared" si="0"/>
        <v>1.7</v>
      </c>
      <c r="AW36" s="18"/>
      <c r="AX36" s="32" t="s">
        <v>133</v>
      </c>
    </row>
    <row r="37" spans="1:50" s="33" customFormat="1" ht="18.75" hidden="1" customHeight="1" x14ac:dyDescent="0.25">
      <c r="A37" s="20" t="s">
        <v>11</v>
      </c>
      <c r="B37" s="21">
        <f>9*(1-(85336850.04/6916896749.61))</f>
        <v>8.8889629731131521</v>
      </c>
      <c r="C37" s="18">
        <v>1</v>
      </c>
      <c r="D37" s="21">
        <v>67.23266415884342</v>
      </c>
      <c r="E37" s="18">
        <v>0</v>
      </c>
      <c r="F37" s="21">
        <v>93.669697803452664</v>
      </c>
      <c r="G37" s="18">
        <v>0.7</v>
      </c>
      <c r="H37" s="21">
        <v>2318.82924519985</v>
      </c>
      <c r="I37" s="18">
        <v>0</v>
      </c>
      <c r="J37" s="19"/>
      <c r="K37" s="19"/>
      <c r="L37" s="19"/>
      <c r="M37" s="19"/>
      <c r="N37" s="19"/>
      <c r="O37" s="19"/>
      <c r="P37" s="19"/>
      <c r="Q37" s="19"/>
      <c r="R37" s="19"/>
      <c r="S37" s="19"/>
      <c r="T37" s="19"/>
      <c r="U37" s="19"/>
      <c r="V37" s="18"/>
      <c r="W37" s="18"/>
      <c r="X37" s="19"/>
      <c r="Y37" s="19"/>
      <c r="Z37" s="19"/>
      <c r="AA37" s="19"/>
      <c r="AB37" s="19"/>
      <c r="AC37" s="26"/>
      <c r="AD37" s="23"/>
      <c r="AE37" s="24"/>
      <c r="AF37" s="25"/>
      <c r="AG37" s="22"/>
      <c r="AH37" s="26"/>
      <c r="AI37" s="19"/>
      <c r="AJ37" s="34"/>
      <c r="AK37" s="35"/>
      <c r="AL37" s="27"/>
      <c r="AM37" s="28"/>
      <c r="AN37" s="29"/>
      <c r="AO37" s="26"/>
      <c r="AP37" s="26"/>
      <c r="AQ37" s="26"/>
      <c r="AR37" s="34"/>
      <c r="AS37" s="35"/>
      <c r="AT37" s="23"/>
      <c r="AU37" s="30"/>
      <c r="AV37" s="31">
        <f t="shared" si="0"/>
        <v>1.7</v>
      </c>
      <c r="AW37" s="19"/>
      <c r="AX37" s="32" t="s">
        <v>134</v>
      </c>
    </row>
    <row r="38" spans="1:50" s="33" customFormat="1" ht="18.75" hidden="1" customHeight="1" x14ac:dyDescent="0.25">
      <c r="A38" s="20" t="s">
        <v>12</v>
      </c>
      <c r="B38" s="21">
        <f>15*(1-(80596918.11/6916896749.61))</f>
        <v>14.825217317040599</v>
      </c>
      <c r="C38" s="18">
        <v>0.7</v>
      </c>
      <c r="D38" s="21">
        <v>-30.544931632468519</v>
      </c>
      <c r="E38" s="18">
        <v>1</v>
      </c>
      <c r="F38" s="21">
        <v>91.627159150106436</v>
      </c>
      <c r="G38" s="18">
        <v>0.7</v>
      </c>
      <c r="H38" s="21">
        <v>16.885627596882287</v>
      </c>
      <c r="I38" s="18">
        <v>0.7</v>
      </c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8"/>
      <c r="W38" s="18"/>
      <c r="X38" s="19"/>
      <c r="Y38" s="19"/>
      <c r="Z38" s="19"/>
      <c r="AA38" s="19"/>
      <c r="AB38" s="19"/>
      <c r="AC38" s="26"/>
      <c r="AD38" s="23"/>
      <c r="AE38" s="24"/>
      <c r="AF38" s="25"/>
      <c r="AG38" s="22"/>
      <c r="AH38" s="26"/>
      <c r="AI38" s="19"/>
      <c r="AJ38" s="34"/>
      <c r="AK38" s="35"/>
      <c r="AL38" s="27"/>
      <c r="AM38" s="28"/>
      <c r="AN38" s="29"/>
      <c r="AO38" s="26"/>
      <c r="AP38" s="26"/>
      <c r="AQ38" s="26"/>
      <c r="AR38" s="34"/>
      <c r="AS38" s="35"/>
      <c r="AT38" s="23"/>
      <c r="AU38" s="30"/>
      <c r="AV38" s="31">
        <f t="shared" si="0"/>
        <v>3.0999999999999996</v>
      </c>
      <c r="AW38" s="19"/>
      <c r="AX38" s="32" t="s">
        <v>134</v>
      </c>
    </row>
    <row r="39" spans="1:50" s="33" customFormat="1" ht="18.75" hidden="1" customHeight="1" x14ac:dyDescent="0.25">
      <c r="A39" s="20" t="s">
        <v>112</v>
      </c>
      <c r="B39" s="21">
        <f>8*(1-(143918844.82/6916896749.61))</f>
        <v>7.8335451864848329</v>
      </c>
      <c r="C39" s="18">
        <v>1</v>
      </c>
      <c r="D39" s="21">
        <v>60.213333174434126</v>
      </c>
      <c r="E39" s="18">
        <v>0</v>
      </c>
      <c r="F39" s="21">
        <v>92.6615703106052</v>
      </c>
      <c r="G39" s="18">
        <v>0.7</v>
      </c>
      <c r="H39" s="21">
        <v>113.8682406255455</v>
      </c>
      <c r="I39" s="18">
        <v>0</v>
      </c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8"/>
      <c r="W39" s="18"/>
      <c r="X39" s="19"/>
      <c r="Y39" s="19"/>
      <c r="Z39" s="19"/>
      <c r="AA39" s="19"/>
      <c r="AB39" s="19"/>
      <c r="AC39" s="26"/>
      <c r="AD39" s="23"/>
      <c r="AE39" s="23"/>
      <c r="AF39" s="25"/>
      <c r="AG39" s="22"/>
      <c r="AH39" s="26"/>
      <c r="AI39" s="19"/>
      <c r="AJ39" s="26"/>
      <c r="AK39" s="19"/>
      <c r="AL39" s="27"/>
      <c r="AM39" s="28"/>
      <c r="AN39" s="29"/>
      <c r="AO39" s="26"/>
      <c r="AP39" s="26"/>
      <c r="AQ39" s="26"/>
      <c r="AR39" s="23"/>
      <c r="AS39" s="24"/>
      <c r="AT39" s="23"/>
      <c r="AU39" s="30"/>
      <c r="AV39" s="31">
        <f t="shared" si="0"/>
        <v>1.7</v>
      </c>
      <c r="AW39" s="19"/>
      <c r="AX39" s="32" t="s">
        <v>134</v>
      </c>
    </row>
    <row r="40" spans="1:50" s="33" customFormat="1" ht="18.75" hidden="1" customHeight="1" x14ac:dyDescent="0.25">
      <c r="A40" s="20" t="s">
        <v>17</v>
      </c>
      <c r="B40" s="21">
        <f>4*(1-(103639313.93/6916896749.61))</f>
        <v>3.9400660049257819</v>
      </c>
      <c r="C40" s="18">
        <v>1</v>
      </c>
      <c r="D40" s="21">
        <v>45.49653701970157</v>
      </c>
      <c r="E40" s="18">
        <v>0</v>
      </c>
      <c r="F40" s="21">
        <v>95.380998268077661</v>
      </c>
      <c r="G40" s="18">
        <v>1</v>
      </c>
      <c r="H40" s="21">
        <v>6.304149206740667</v>
      </c>
      <c r="I40" s="18">
        <v>1</v>
      </c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8"/>
      <c r="W40" s="18"/>
      <c r="X40" s="19"/>
      <c r="Y40" s="19"/>
      <c r="Z40" s="19"/>
      <c r="AA40" s="19"/>
      <c r="AB40" s="19"/>
      <c r="AC40" s="26"/>
      <c r="AD40" s="23"/>
      <c r="AE40" s="23"/>
      <c r="AF40" s="25"/>
      <c r="AG40" s="22"/>
      <c r="AH40" s="26"/>
      <c r="AI40" s="19"/>
      <c r="AJ40" s="26"/>
      <c r="AK40" s="19"/>
      <c r="AL40" s="27"/>
      <c r="AM40" s="28"/>
      <c r="AN40" s="29"/>
      <c r="AO40" s="26"/>
      <c r="AP40" s="26"/>
      <c r="AQ40" s="26"/>
      <c r="AR40" s="23"/>
      <c r="AS40" s="24"/>
      <c r="AT40" s="23"/>
      <c r="AU40" s="30"/>
      <c r="AV40" s="31">
        <f t="shared" si="0"/>
        <v>3</v>
      </c>
      <c r="AW40" s="19"/>
      <c r="AX40" s="32" t="s">
        <v>134</v>
      </c>
    </row>
    <row r="41" spans="1:50" s="33" customFormat="1" ht="18.75" hidden="1" customHeight="1" x14ac:dyDescent="0.25">
      <c r="A41" s="20" t="s">
        <v>16</v>
      </c>
      <c r="B41" s="21">
        <f>3*(1-(179833962.04/6916896749.61))</f>
        <v>2.9220023219010143</v>
      </c>
      <c r="C41" s="18">
        <v>1</v>
      </c>
      <c r="D41" s="21">
        <v>43.126527327962783</v>
      </c>
      <c r="E41" s="18">
        <v>0</v>
      </c>
      <c r="F41" s="21">
        <v>96.998067312614538</v>
      </c>
      <c r="G41" s="18">
        <v>1</v>
      </c>
      <c r="H41" s="21">
        <v>112.37302039533148</v>
      </c>
      <c r="I41" s="18">
        <v>0</v>
      </c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8"/>
      <c r="W41" s="18"/>
      <c r="X41" s="19"/>
      <c r="Y41" s="19"/>
      <c r="Z41" s="19"/>
      <c r="AA41" s="19"/>
      <c r="AB41" s="19"/>
      <c r="AC41" s="26"/>
      <c r="AD41" s="23"/>
      <c r="AE41" s="23"/>
      <c r="AF41" s="25"/>
      <c r="AG41" s="22"/>
      <c r="AH41" s="26"/>
      <c r="AI41" s="19"/>
      <c r="AJ41" s="26"/>
      <c r="AK41" s="19"/>
      <c r="AL41" s="27"/>
      <c r="AM41" s="28"/>
      <c r="AN41" s="29"/>
      <c r="AO41" s="26"/>
      <c r="AP41" s="26"/>
      <c r="AQ41" s="26"/>
      <c r="AR41" s="23"/>
      <c r="AS41" s="24"/>
      <c r="AT41" s="23"/>
      <c r="AU41" s="30"/>
      <c r="AV41" s="31">
        <f t="shared" si="0"/>
        <v>2</v>
      </c>
      <c r="AW41" s="18"/>
      <c r="AX41" s="32" t="s">
        <v>133</v>
      </c>
    </row>
    <row r="42" spans="1:50" s="33" customFormat="1" ht="18.75" hidden="1" customHeight="1" x14ac:dyDescent="0.25">
      <c r="A42" s="20" t="s">
        <v>15</v>
      </c>
      <c r="B42" s="21">
        <f>7*(1-(162554381.5/6916896749.61))</f>
        <v>6.8354926043150552</v>
      </c>
      <c r="C42" s="18">
        <v>1</v>
      </c>
      <c r="D42" s="21">
        <v>21.042320326276311</v>
      </c>
      <c r="E42" s="18">
        <v>1</v>
      </c>
      <c r="F42" s="21">
        <v>94.358799787991359</v>
      </c>
      <c r="G42" s="18">
        <v>0.7</v>
      </c>
      <c r="H42" s="21">
        <v>68.1871058692943</v>
      </c>
      <c r="I42" s="18">
        <v>0</v>
      </c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8"/>
      <c r="W42" s="18"/>
      <c r="X42" s="19"/>
      <c r="Y42" s="19"/>
      <c r="Z42" s="19"/>
      <c r="AA42" s="19"/>
      <c r="AB42" s="19"/>
      <c r="AC42" s="26"/>
      <c r="AD42" s="23"/>
      <c r="AE42" s="23"/>
      <c r="AF42" s="25"/>
      <c r="AG42" s="22"/>
      <c r="AH42" s="26"/>
      <c r="AI42" s="19"/>
      <c r="AJ42" s="26"/>
      <c r="AK42" s="19"/>
      <c r="AL42" s="27"/>
      <c r="AM42" s="28"/>
      <c r="AN42" s="29"/>
      <c r="AO42" s="26"/>
      <c r="AP42" s="26"/>
      <c r="AQ42" s="26"/>
      <c r="AR42" s="23"/>
      <c r="AS42" s="24"/>
      <c r="AT42" s="23"/>
      <c r="AU42" s="30"/>
      <c r="AV42" s="31">
        <f t="shared" ref="AV42:AV58" si="3">C42+E42+G42+I42+K42+M42+O42+Q42+S42+U42+W42+Y42+AA42+AC42+AE42+AG42+AI42+AK42+AM42+AO42+AQ42+AS42+AU42</f>
        <v>2.7</v>
      </c>
      <c r="AW42" s="18"/>
      <c r="AX42" s="32" t="s">
        <v>134</v>
      </c>
    </row>
    <row r="43" spans="1:50" s="33" customFormat="1" ht="18.75" hidden="1" customHeight="1" x14ac:dyDescent="0.25">
      <c r="A43" s="20" t="s">
        <v>14</v>
      </c>
      <c r="B43" s="21">
        <f>10*(1-(185128573.77/6916896749.61))</f>
        <v>9.7323531339680063</v>
      </c>
      <c r="C43" s="18">
        <v>1</v>
      </c>
      <c r="D43" s="21">
        <v>-31.204571398650316</v>
      </c>
      <c r="E43" s="18">
        <v>1</v>
      </c>
      <c r="F43" s="21">
        <v>89.331106301634449</v>
      </c>
      <c r="G43" s="18">
        <v>0.7</v>
      </c>
      <c r="H43" s="21">
        <v>16.574207891747722</v>
      </c>
      <c r="I43" s="18">
        <v>0.7</v>
      </c>
      <c r="J43" s="19"/>
      <c r="K43" s="19"/>
      <c r="L43" s="19"/>
      <c r="M43" s="19"/>
      <c r="N43" s="18">
        <v>1</v>
      </c>
      <c r="O43" s="18">
        <v>0</v>
      </c>
      <c r="P43" s="18">
        <v>1</v>
      </c>
      <c r="Q43" s="18">
        <v>0</v>
      </c>
      <c r="R43" s="19"/>
      <c r="S43" s="19"/>
      <c r="T43" s="19"/>
      <c r="U43" s="19"/>
      <c r="V43" s="18"/>
      <c r="W43" s="18"/>
      <c r="X43" s="19"/>
      <c r="Y43" s="19"/>
      <c r="Z43" s="19"/>
      <c r="AA43" s="19"/>
      <c r="AB43" s="19"/>
      <c r="AC43" s="26"/>
      <c r="AD43" s="23"/>
      <c r="AE43" s="23"/>
      <c r="AF43" s="25"/>
      <c r="AG43" s="22"/>
      <c r="AH43" s="26"/>
      <c r="AI43" s="19"/>
      <c r="AJ43" s="26"/>
      <c r="AK43" s="19"/>
      <c r="AL43" s="27"/>
      <c r="AM43" s="28"/>
      <c r="AN43" s="29"/>
      <c r="AO43" s="26"/>
      <c r="AP43" s="26"/>
      <c r="AQ43" s="26"/>
      <c r="AR43" s="23"/>
      <c r="AS43" s="24"/>
      <c r="AT43" s="23"/>
      <c r="AU43" s="30"/>
      <c r="AV43" s="31">
        <f t="shared" si="3"/>
        <v>3.4000000000000004</v>
      </c>
      <c r="AW43" s="19"/>
      <c r="AX43" s="32" t="s">
        <v>134</v>
      </c>
    </row>
    <row r="44" spans="1:50" s="33" customFormat="1" ht="18.75" hidden="1" customHeight="1" x14ac:dyDescent="0.25">
      <c r="A44" s="20" t="s">
        <v>95</v>
      </c>
      <c r="B44" s="21">
        <f>5*(1-(156079712.33/6916896749.61))</f>
        <v>4.8871750454141152</v>
      </c>
      <c r="C44" s="18">
        <v>1</v>
      </c>
      <c r="D44" s="21">
        <v>40.819357651024099</v>
      </c>
      <c r="E44" s="18">
        <v>0</v>
      </c>
      <c r="F44" s="21">
        <v>95.798837501736188</v>
      </c>
      <c r="G44" s="18">
        <v>1</v>
      </c>
      <c r="H44" s="21">
        <v>38.085245841363431</v>
      </c>
      <c r="I44" s="18">
        <v>0.3</v>
      </c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8"/>
      <c r="W44" s="18"/>
      <c r="X44" s="19"/>
      <c r="Y44" s="19"/>
      <c r="Z44" s="19"/>
      <c r="AA44" s="19"/>
      <c r="AB44" s="19"/>
      <c r="AC44" s="26"/>
      <c r="AD44" s="23"/>
      <c r="AE44" s="23"/>
      <c r="AF44" s="25"/>
      <c r="AG44" s="22"/>
      <c r="AH44" s="26"/>
      <c r="AI44" s="19"/>
      <c r="AJ44" s="26"/>
      <c r="AK44" s="19"/>
      <c r="AL44" s="27"/>
      <c r="AM44" s="28"/>
      <c r="AN44" s="29"/>
      <c r="AO44" s="26"/>
      <c r="AP44" s="26"/>
      <c r="AQ44" s="26"/>
      <c r="AR44" s="23"/>
      <c r="AS44" s="24"/>
      <c r="AT44" s="23"/>
      <c r="AU44" s="30"/>
      <c r="AV44" s="31">
        <f t="shared" si="3"/>
        <v>2.2999999999999998</v>
      </c>
      <c r="AW44" s="19"/>
      <c r="AX44" s="32" t="s">
        <v>133</v>
      </c>
    </row>
    <row r="45" spans="1:50" s="33" customFormat="1" ht="18.75" hidden="1" customHeight="1" x14ac:dyDescent="0.25">
      <c r="A45" s="20" t="s">
        <v>96</v>
      </c>
      <c r="B45" s="21">
        <f>7*(1-(307977618.55/6916896749.61))</f>
        <v>6.6883221756965572</v>
      </c>
      <c r="C45" s="18">
        <v>1</v>
      </c>
      <c r="D45" s="21">
        <v>-97.597886624117876</v>
      </c>
      <c r="E45" s="18">
        <v>0</v>
      </c>
      <c r="F45" s="21">
        <v>95.191908742467987</v>
      </c>
      <c r="G45" s="18">
        <v>1</v>
      </c>
      <c r="H45" s="21">
        <v>308.63278674307037</v>
      </c>
      <c r="I45" s="18">
        <v>0</v>
      </c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8"/>
      <c r="W45" s="18"/>
      <c r="X45" s="19"/>
      <c r="Y45" s="19"/>
      <c r="Z45" s="19"/>
      <c r="AA45" s="19"/>
      <c r="AB45" s="19"/>
      <c r="AC45" s="26"/>
      <c r="AD45" s="23"/>
      <c r="AE45" s="23"/>
      <c r="AF45" s="25"/>
      <c r="AG45" s="22"/>
      <c r="AH45" s="26"/>
      <c r="AI45" s="19"/>
      <c r="AJ45" s="26"/>
      <c r="AK45" s="19"/>
      <c r="AL45" s="27"/>
      <c r="AM45" s="28"/>
      <c r="AN45" s="29"/>
      <c r="AO45" s="26"/>
      <c r="AP45" s="26"/>
      <c r="AQ45" s="26"/>
      <c r="AR45" s="23"/>
      <c r="AS45" s="24"/>
      <c r="AT45" s="23"/>
      <c r="AU45" s="30"/>
      <c r="AV45" s="31">
        <f t="shared" si="3"/>
        <v>2</v>
      </c>
      <c r="AW45" s="19"/>
      <c r="AX45" s="32" t="s">
        <v>133</v>
      </c>
    </row>
    <row r="46" spans="1:50" s="33" customFormat="1" ht="18.75" hidden="1" customHeight="1" x14ac:dyDescent="0.25">
      <c r="A46" s="20" t="s">
        <v>97</v>
      </c>
      <c r="B46" s="21">
        <f>7*(1-(194195124.87/6916896749.61))</f>
        <v>6.8034717123446082</v>
      </c>
      <c r="C46" s="18">
        <v>1</v>
      </c>
      <c r="D46" s="21">
        <v>44.996011095709051</v>
      </c>
      <c r="E46" s="18">
        <v>0</v>
      </c>
      <c r="F46" s="21">
        <v>95.406360016356373</v>
      </c>
      <c r="G46" s="18">
        <v>1</v>
      </c>
      <c r="H46" s="21">
        <v>232.7287133372387</v>
      </c>
      <c r="I46" s="18">
        <v>0</v>
      </c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8"/>
      <c r="W46" s="18"/>
      <c r="X46" s="19"/>
      <c r="Y46" s="19"/>
      <c r="Z46" s="19"/>
      <c r="AA46" s="19"/>
      <c r="AB46" s="19"/>
      <c r="AC46" s="26"/>
      <c r="AD46" s="23"/>
      <c r="AE46" s="23"/>
      <c r="AF46" s="25"/>
      <c r="AG46" s="22"/>
      <c r="AH46" s="26"/>
      <c r="AI46" s="19"/>
      <c r="AJ46" s="26"/>
      <c r="AK46" s="19"/>
      <c r="AL46" s="27"/>
      <c r="AM46" s="28"/>
      <c r="AN46" s="29"/>
      <c r="AO46" s="26"/>
      <c r="AP46" s="26"/>
      <c r="AQ46" s="26"/>
      <c r="AR46" s="23"/>
      <c r="AS46" s="24"/>
      <c r="AT46" s="23"/>
      <c r="AU46" s="30"/>
      <c r="AV46" s="31">
        <f t="shared" si="3"/>
        <v>2</v>
      </c>
      <c r="AW46" s="19"/>
      <c r="AX46" s="32" t="s">
        <v>134</v>
      </c>
    </row>
    <row r="47" spans="1:50" s="33" customFormat="1" ht="18.75" hidden="1" customHeight="1" x14ac:dyDescent="0.25">
      <c r="A47" s="20" t="s">
        <v>113</v>
      </c>
      <c r="B47" s="21">
        <f>9*(1-(181417452.43/6916896749.61))</f>
        <v>8.7639465889147381</v>
      </c>
      <c r="C47" s="18">
        <v>1</v>
      </c>
      <c r="D47" s="21">
        <v>19.42848290311106</v>
      </c>
      <c r="E47" s="18">
        <v>1</v>
      </c>
      <c r="F47" s="21">
        <v>95.624196009107564</v>
      </c>
      <c r="G47" s="18">
        <v>1</v>
      </c>
      <c r="H47" s="21">
        <v>53.1092125282278</v>
      </c>
      <c r="I47" s="18">
        <v>0</v>
      </c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8"/>
      <c r="W47" s="18"/>
      <c r="X47" s="19"/>
      <c r="Y47" s="19"/>
      <c r="Z47" s="19"/>
      <c r="AA47" s="19"/>
      <c r="AB47" s="19"/>
      <c r="AC47" s="26"/>
      <c r="AD47" s="23"/>
      <c r="AE47" s="23"/>
      <c r="AF47" s="25"/>
      <c r="AG47" s="22"/>
      <c r="AH47" s="26"/>
      <c r="AI47" s="19"/>
      <c r="AJ47" s="26"/>
      <c r="AK47" s="19"/>
      <c r="AL47" s="27"/>
      <c r="AM47" s="28"/>
      <c r="AN47" s="29"/>
      <c r="AO47" s="26"/>
      <c r="AP47" s="26"/>
      <c r="AQ47" s="26"/>
      <c r="AR47" s="23"/>
      <c r="AS47" s="24"/>
      <c r="AT47" s="23"/>
      <c r="AU47" s="30"/>
      <c r="AV47" s="31">
        <f t="shared" si="3"/>
        <v>3</v>
      </c>
      <c r="AW47" s="19"/>
      <c r="AX47" s="32" t="s">
        <v>134</v>
      </c>
    </row>
    <row r="48" spans="1:50" s="33" customFormat="1" ht="18.75" hidden="1" customHeight="1" x14ac:dyDescent="0.25">
      <c r="A48" s="20" t="s">
        <v>114</v>
      </c>
      <c r="B48" s="21">
        <f>4*(1-(214459166.15/6916896749.61))</f>
        <v>3.8759795475263719</v>
      </c>
      <c r="C48" s="18">
        <v>1</v>
      </c>
      <c r="D48" s="21">
        <v>63.982343776515485</v>
      </c>
      <c r="E48" s="18">
        <v>0</v>
      </c>
      <c r="F48" s="21">
        <v>95.991756319663651</v>
      </c>
      <c r="G48" s="18">
        <v>1</v>
      </c>
      <c r="H48" s="21">
        <v>88.434813736610522</v>
      </c>
      <c r="I48" s="18">
        <v>0</v>
      </c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8"/>
      <c r="W48" s="18"/>
      <c r="X48" s="19"/>
      <c r="Y48" s="19"/>
      <c r="Z48" s="19"/>
      <c r="AA48" s="19"/>
      <c r="AB48" s="19"/>
      <c r="AC48" s="26"/>
      <c r="AD48" s="23"/>
      <c r="AE48" s="23"/>
      <c r="AF48" s="25"/>
      <c r="AG48" s="22"/>
      <c r="AH48" s="26"/>
      <c r="AI48" s="19"/>
      <c r="AJ48" s="26"/>
      <c r="AK48" s="19"/>
      <c r="AL48" s="27"/>
      <c r="AM48" s="28"/>
      <c r="AN48" s="29"/>
      <c r="AO48" s="26"/>
      <c r="AP48" s="26"/>
      <c r="AQ48" s="26"/>
      <c r="AR48" s="23"/>
      <c r="AS48" s="24"/>
      <c r="AT48" s="23"/>
      <c r="AU48" s="30"/>
      <c r="AV48" s="31">
        <f t="shared" si="3"/>
        <v>2</v>
      </c>
      <c r="AW48" s="19"/>
      <c r="AX48" s="32" t="s">
        <v>134</v>
      </c>
    </row>
    <row r="49" spans="1:50" s="33" customFormat="1" ht="18.75" hidden="1" customHeight="1" x14ac:dyDescent="0.25">
      <c r="A49" s="20" t="s">
        <v>18</v>
      </c>
      <c r="B49" s="21">
        <f>6*(1-(143159884.05/6916896749.61))</f>
        <v>5.8758172435711966</v>
      </c>
      <c r="C49" s="18">
        <v>1</v>
      </c>
      <c r="D49" s="21">
        <v>22.9070174924464</v>
      </c>
      <c r="E49" s="18">
        <v>1</v>
      </c>
      <c r="F49" s="21">
        <v>93.256286895983422</v>
      </c>
      <c r="G49" s="18">
        <v>0.7</v>
      </c>
      <c r="H49" s="21">
        <v>294.08453953085524</v>
      </c>
      <c r="I49" s="18">
        <v>0</v>
      </c>
      <c r="J49" s="19"/>
      <c r="K49" s="19"/>
      <c r="L49" s="19"/>
      <c r="M49" s="19"/>
      <c r="N49" s="19"/>
      <c r="O49" s="19"/>
      <c r="P49" s="19"/>
      <c r="Q49" s="19"/>
      <c r="R49" s="19"/>
      <c r="S49" s="19"/>
      <c r="T49" s="19"/>
      <c r="U49" s="19"/>
      <c r="V49" s="18"/>
      <c r="W49" s="18"/>
      <c r="X49" s="19"/>
      <c r="Y49" s="19"/>
      <c r="Z49" s="19"/>
      <c r="AA49" s="19"/>
      <c r="AB49" s="19"/>
      <c r="AC49" s="26"/>
      <c r="AD49" s="23"/>
      <c r="AE49" s="23"/>
      <c r="AF49" s="25"/>
      <c r="AG49" s="22"/>
      <c r="AH49" s="26"/>
      <c r="AI49" s="19"/>
      <c r="AJ49" s="26"/>
      <c r="AK49" s="19"/>
      <c r="AL49" s="27"/>
      <c r="AM49" s="28"/>
      <c r="AN49" s="29"/>
      <c r="AO49" s="26"/>
      <c r="AP49" s="26"/>
      <c r="AQ49" s="26"/>
      <c r="AR49" s="23"/>
      <c r="AS49" s="24"/>
      <c r="AT49" s="23"/>
      <c r="AU49" s="30"/>
      <c r="AV49" s="31">
        <f t="shared" si="3"/>
        <v>2.7</v>
      </c>
      <c r="AW49" s="19"/>
      <c r="AX49" s="32" t="s">
        <v>133</v>
      </c>
    </row>
    <row r="50" spans="1:50" s="33" customFormat="1" ht="18.75" hidden="1" customHeight="1" x14ac:dyDescent="0.25">
      <c r="A50" s="20" t="s">
        <v>115</v>
      </c>
      <c r="B50" s="21">
        <f>6*(1-(73053416.07/6916896749.61))</f>
        <v>5.9366304699510346</v>
      </c>
      <c r="C50" s="18">
        <v>1</v>
      </c>
      <c r="D50" s="21">
        <v>-18.815795407689972</v>
      </c>
      <c r="E50" s="36">
        <v>1</v>
      </c>
      <c r="F50" s="21">
        <v>91.708219205606198</v>
      </c>
      <c r="G50" s="18">
        <v>0.7</v>
      </c>
      <c r="H50" s="21">
        <v>80.641283883542343</v>
      </c>
      <c r="I50" s="18">
        <v>0</v>
      </c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8"/>
      <c r="W50" s="18"/>
      <c r="X50" s="19"/>
      <c r="Y50" s="19"/>
      <c r="Z50" s="19"/>
      <c r="AA50" s="19"/>
      <c r="AB50" s="19"/>
      <c r="AC50" s="26"/>
      <c r="AD50" s="37"/>
      <c r="AE50" s="37"/>
      <c r="AF50" s="25"/>
      <c r="AG50" s="22"/>
      <c r="AH50" s="26"/>
      <c r="AI50" s="19"/>
      <c r="AJ50" s="26"/>
      <c r="AK50" s="19"/>
      <c r="AL50" s="27"/>
      <c r="AM50" s="28"/>
      <c r="AN50" s="29"/>
      <c r="AO50" s="26"/>
      <c r="AP50" s="26"/>
      <c r="AQ50" s="26"/>
      <c r="AR50" s="23"/>
      <c r="AS50" s="24"/>
      <c r="AT50" s="23"/>
      <c r="AU50" s="30"/>
      <c r="AV50" s="31">
        <f t="shared" si="3"/>
        <v>2.7</v>
      </c>
      <c r="AW50" s="19"/>
      <c r="AX50" s="32" t="s">
        <v>134</v>
      </c>
    </row>
    <row r="51" spans="1:50" s="33" customFormat="1" ht="18.75" hidden="1" customHeight="1" x14ac:dyDescent="0.25">
      <c r="A51" s="20" t="s">
        <v>116</v>
      </c>
      <c r="B51" s="21">
        <f>7*(1-(48666892/6916896749.61))</f>
        <v>6.9507483982583356</v>
      </c>
      <c r="C51" s="18">
        <v>1</v>
      </c>
      <c r="D51" s="21">
        <v>31.578479999244195</v>
      </c>
      <c r="E51" s="36">
        <v>1</v>
      </c>
      <c r="F51" s="21">
        <v>98.911376107576672</v>
      </c>
      <c r="G51" s="18">
        <v>1</v>
      </c>
      <c r="H51" s="21">
        <v>12181.637291617799</v>
      </c>
      <c r="I51" s="18">
        <v>0</v>
      </c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8"/>
      <c r="W51" s="18"/>
      <c r="X51" s="19"/>
      <c r="Y51" s="19"/>
      <c r="Z51" s="19"/>
      <c r="AA51" s="19"/>
      <c r="AB51" s="19"/>
      <c r="AC51" s="26"/>
      <c r="AD51" s="37"/>
      <c r="AE51" s="37"/>
      <c r="AF51" s="25"/>
      <c r="AG51" s="22"/>
      <c r="AH51" s="26"/>
      <c r="AI51" s="19"/>
      <c r="AJ51" s="26"/>
      <c r="AK51" s="19"/>
      <c r="AL51" s="27"/>
      <c r="AM51" s="28"/>
      <c r="AN51" s="29"/>
      <c r="AO51" s="26"/>
      <c r="AP51" s="26"/>
      <c r="AQ51" s="26"/>
      <c r="AR51" s="23"/>
      <c r="AS51" s="24"/>
      <c r="AT51" s="23"/>
      <c r="AU51" s="30"/>
      <c r="AV51" s="31">
        <f t="shared" si="3"/>
        <v>3</v>
      </c>
      <c r="AW51" s="18"/>
      <c r="AX51" s="32" t="s">
        <v>132</v>
      </c>
    </row>
    <row r="52" spans="1:50" s="33" customFormat="1" ht="18.75" hidden="1" customHeight="1" x14ac:dyDescent="0.25">
      <c r="A52" s="20" t="s">
        <v>13</v>
      </c>
      <c r="B52" s="21">
        <f>5*(1-(59696454.68/6916896749.61))</f>
        <v>4.9568473718482453</v>
      </c>
      <c r="C52" s="18">
        <v>1</v>
      </c>
      <c r="D52" s="21">
        <v>12.736498657226244</v>
      </c>
      <c r="E52" s="36">
        <v>1</v>
      </c>
      <c r="F52" s="21">
        <v>97.4291839407515</v>
      </c>
      <c r="G52" s="18">
        <v>1</v>
      </c>
      <c r="H52" s="21">
        <v>97.589973390485625</v>
      </c>
      <c r="I52" s="18">
        <v>0</v>
      </c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8"/>
      <c r="W52" s="18"/>
      <c r="X52" s="19"/>
      <c r="Y52" s="19"/>
      <c r="Z52" s="19"/>
      <c r="AA52" s="19"/>
      <c r="AB52" s="19"/>
      <c r="AC52" s="26"/>
      <c r="AD52" s="37"/>
      <c r="AE52" s="37"/>
      <c r="AF52" s="25"/>
      <c r="AG52" s="22"/>
      <c r="AH52" s="26"/>
      <c r="AI52" s="19"/>
      <c r="AJ52" s="26"/>
      <c r="AK52" s="19"/>
      <c r="AL52" s="27"/>
      <c r="AM52" s="28"/>
      <c r="AN52" s="29"/>
      <c r="AO52" s="26"/>
      <c r="AP52" s="26"/>
      <c r="AQ52" s="26"/>
      <c r="AR52" s="23"/>
      <c r="AS52" s="24"/>
      <c r="AT52" s="23"/>
      <c r="AU52" s="30"/>
      <c r="AV52" s="31">
        <f t="shared" si="3"/>
        <v>3</v>
      </c>
      <c r="AW52" s="19"/>
      <c r="AX52" s="32" t="s">
        <v>133</v>
      </c>
    </row>
    <row r="53" spans="1:50" s="33" customFormat="1" ht="18.75" hidden="1" customHeight="1" x14ac:dyDescent="0.25">
      <c r="A53" s="20" t="s">
        <v>119</v>
      </c>
      <c r="B53" s="21">
        <f>2*(1-(36726140.19/6916896749.61))</f>
        <v>1.9893807464475826</v>
      </c>
      <c r="C53" s="18">
        <v>1</v>
      </c>
      <c r="D53" s="21">
        <v>61.006815372175026</v>
      </c>
      <c r="E53" s="36">
        <v>0</v>
      </c>
      <c r="F53" s="21">
        <v>97.559226585602715</v>
      </c>
      <c r="G53" s="18">
        <v>1</v>
      </c>
      <c r="H53" s="21">
        <v>0.13892897930698414</v>
      </c>
      <c r="I53" s="18">
        <v>1</v>
      </c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8"/>
      <c r="W53" s="18"/>
      <c r="X53" s="19"/>
      <c r="Y53" s="19"/>
      <c r="Z53" s="19"/>
      <c r="AA53" s="19"/>
      <c r="AB53" s="19"/>
      <c r="AC53" s="26"/>
      <c r="AD53" s="37"/>
      <c r="AE53" s="37"/>
      <c r="AF53" s="25"/>
      <c r="AG53" s="22"/>
      <c r="AH53" s="26"/>
      <c r="AI53" s="19"/>
      <c r="AJ53" s="26"/>
      <c r="AK53" s="19"/>
      <c r="AL53" s="27"/>
      <c r="AM53" s="28"/>
      <c r="AN53" s="29"/>
      <c r="AO53" s="26"/>
      <c r="AP53" s="26"/>
      <c r="AQ53" s="26"/>
      <c r="AR53" s="23"/>
      <c r="AS53" s="24"/>
      <c r="AT53" s="23"/>
      <c r="AU53" s="30"/>
      <c r="AV53" s="31">
        <f t="shared" si="3"/>
        <v>3</v>
      </c>
      <c r="AW53" s="19"/>
      <c r="AX53" s="32" t="s">
        <v>134</v>
      </c>
    </row>
    <row r="54" spans="1:50" s="33" customFormat="1" ht="18.75" hidden="1" customHeight="1" x14ac:dyDescent="0.25">
      <c r="A54" s="20" t="s">
        <v>117</v>
      </c>
      <c r="B54" s="21">
        <f>6*(1-(99973040.68/6916896749.61))</f>
        <v>5.9132792832112431</v>
      </c>
      <c r="C54" s="18">
        <v>1</v>
      </c>
      <c r="D54" s="21">
        <v>50.50506788551634</v>
      </c>
      <c r="E54" s="36">
        <v>0</v>
      </c>
      <c r="F54" s="21">
        <v>73.503972177401039</v>
      </c>
      <c r="G54" s="18">
        <v>0.3</v>
      </c>
      <c r="H54" s="21">
        <v>9.9872815845987777</v>
      </c>
      <c r="I54" s="18">
        <v>1</v>
      </c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8"/>
      <c r="W54" s="18"/>
      <c r="X54" s="19"/>
      <c r="Y54" s="19"/>
      <c r="Z54" s="19"/>
      <c r="AA54" s="19"/>
      <c r="AB54" s="19"/>
      <c r="AC54" s="26"/>
      <c r="AD54" s="37"/>
      <c r="AE54" s="37"/>
      <c r="AF54" s="25"/>
      <c r="AG54" s="22"/>
      <c r="AH54" s="26"/>
      <c r="AI54" s="19"/>
      <c r="AJ54" s="26"/>
      <c r="AK54" s="19"/>
      <c r="AL54" s="27"/>
      <c r="AM54" s="28"/>
      <c r="AN54" s="29"/>
      <c r="AO54" s="26"/>
      <c r="AP54" s="26"/>
      <c r="AQ54" s="26"/>
      <c r="AR54" s="23"/>
      <c r="AS54" s="24"/>
      <c r="AT54" s="23"/>
      <c r="AU54" s="30"/>
      <c r="AV54" s="31">
        <f t="shared" si="3"/>
        <v>2.2999999999999998</v>
      </c>
      <c r="AW54" s="19"/>
      <c r="AX54" s="32" t="s">
        <v>134</v>
      </c>
    </row>
    <row r="55" spans="1:50" s="33" customFormat="1" ht="18.75" hidden="1" customHeight="1" x14ac:dyDescent="0.25">
      <c r="A55" s="20" t="s">
        <v>120</v>
      </c>
      <c r="B55" s="21">
        <f>2*(1-(31128301.47/6916896749.61))</f>
        <v>1.9909993447649035</v>
      </c>
      <c r="C55" s="18">
        <v>1</v>
      </c>
      <c r="D55" s="21">
        <v>62.277293527056507</v>
      </c>
      <c r="E55" s="36">
        <v>0</v>
      </c>
      <c r="F55" s="21">
        <v>95.530451257058488</v>
      </c>
      <c r="G55" s="18">
        <v>1</v>
      </c>
      <c r="H55" s="21">
        <v>0</v>
      </c>
      <c r="I55" s="18">
        <v>1</v>
      </c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8"/>
      <c r="W55" s="18"/>
      <c r="X55" s="19"/>
      <c r="Y55" s="19"/>
      <c r="Z55" s="19"/>
      <c r="AA55" s="19"/>
      <c r="AB55" s="19"/>
      <c r="AC55" s="26"/>
      <c r="AD55" s="37"/>
      <c r="AE55" s="37"/>
      <c r="AF55" s="25"/>
      <c r="AG55" s="22"/>
      <c r="AH55" s="26"/>
      <c r="AI55" s="19"/>
      <c r="AJ55" s="26"/>
      <c r="AK55" s="19"/>
      <c r="AL55" s="27"/>
      <c r="AM55" s="28"/>
      <c r="AN55" s="29"/>
      <c r="AO55" s="26"/>
      <c r="AP55" s="26"/>
      <c r="AQ55" s="26"/>
      <c r="AR55" s="23"/>
      <c r="AS55" s="24"/>
      <c r="AT55" s="23"/>
      <c r="AU55" s="30"/>
      <c r="AV55" s="31">
        <f t="shared" si="3"/>
        <v>3</v>
      </c>
      <c r="AW55" s="19"/>
      <c r="AX55" s="32" t="s">
        <v>134</v>
      </c>
    </row>
    <row r="56" spans="1:50" s="33" customFormat="1" ht="18.75" hidden="1" customHeight="1" x14ac:dyDescent="0.25">
      <c r="A56" s="20" t="s">
        <v>131</v>
      </c>
      <c r="B56" s="21">
        <f>7*(1-(136340360.05/6916896749.61))</f>
        <v>6.8620215748624824</v>
      </c>
      <c r="C56" s="18">
        <v>1</v>
      </c>
      <c r="D56" s="21">
        <v>47.053915833396758</v>
      </c>
      <c r="E56" s="36">
        <v>0</v>
      </c>
      <c r="F56" s="21">
        <v>96.100591255260127</v>
      </c>
      <c r="G56" s="18">
        <v>1</v>
      </c>
      <c r="H56" s="21">
        <v>1.3096852602746276</v>
      </c>
      <c r="I56" s="18">
        <v>1</v>
      </c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8"/>
      <c r="W56" s="18"/>
      <c r="X56" s="19"/>
      <c r="Y56" s="19"/>
      <c r="Z56" s="19"/>
      <c r="AA56" s="19"/>
      <c r="AB56" s="19"/>
      <c r="AC56" s="26"/>
      <c r="AD56" s="37"/>
      <c r="AE56" s="37"/>
      <c r="AF56" s="25"/>
      <c r="AG56" s="22"/>
      <c r="AH56" s="26"/>
      <c r="AI56" s="19"/>
      <c r="AJ56" s="26"/>
      <c r="AK56" s="19"/>
      <c r="AL56" s="27"/>
      <c r="AM56" s="28"/>
      <c r="AN56" s="29"/>
      <c r="AO56" s="26"/>
      <c r="AP56" s="26"/>
      <c r="AQ56" s="26"/>
      <c r="AR56" s="23"/>
      <c r="AS56" s="24"/>
      <c r="AT56" s="23"/>
      <c r="AU56" s="30"/>
      <c r="AV56" s="31">
        <f t="shared" si="3"/>
        <v>3</v>
      </c>
      <c r="AW56" s="19"/>
      <c r="AX56" s="32" t="s">
        <v>134</v>
      </c>
    </row>
    <row r="57" spans="1:50" s="33" customFormat="1" ht="18.75" hidden="1" customHeight="1" x14ac:dyDescent="0.25">
      <c r="A57" s="20" t="s">
        <v>21</v>
      </c>
      <c r="B57" s="21">
        <f>6*(1-(47317533.56/6916896749.61))</f>
        <v>5.9589548302313453</v>
      </c>
      <c r="C57" s="18">
        <v>1</v>
      </c>
      <c r="D57" s="21">
        <v>107.27272120423099</v>
      </c>
      <c r="E57" s="36">
        <v>0</v>
      </c>
      <c r="F57" s="21">
        <v>99.321028814683515</v>
      </c>
      <c r="G57" s="18">
        <v>1</v>
      </c>
      <c r="H57" s="21">
        <v>13.892392671688159</v>
      </c>
      <c r="I57" s="18">
        <v>0.7</v>
      </c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8"/>
      <c r="W57" s="18"/>
      <c r="X57" s="19"/>
      <c r="Y57" s="19"/>
      <c r="Z57" s="19"/>
      <c r="AA57" s="19"/>
      <c r="AB57" s="19"/>
      <c r="AC57" s="26"/>
      <c r="AD57" s="37"/>
      <c r="AE57" s="37"/>
      <c r="AF57" s="25"/>
      <c r="AG57" s="22"/>
      <c r="AH57" s="26"/>
      <c r="AI57" s="19"/>
      <c r="AJ57" s="26"/>
      <c r="AK57" s="19"/>
      <c r="AL57" s="27"/>
      <c r="AM57" s="28"/>
      <c r="AN57" s="29"/>
      <c r="AO57" s="26"/>
      <c r="AP57" s="26"/>
      <c r="AQ57" s="26"/>
      <c r="AR57" s="23"/>
      <c r="AS57" s="24"/>
      <c r="AT57" s="23"/>
      <c r="AU57" s="30"/>
      <c r="AV57" s="31">
        <f t="shared" si="3"/>
        <v>2.7</v>
      </c>
      <c r="AW57" s="19"/>
      <c r="AX57" s="32" t="s">
        <v>134</v>
      </c>
    </row>
    <row r="58" spans="1:50" s="32" customFormat="1" ht="18.75" hidden="1" customHeight="1" x14ac:dyDescent="0.25">
      <c r="A58" s="11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  <c r="W58" s="18"/>
      <c r="X58" s="18"/>
      <c r="Y58" s="18"/>
      <c r="Z58" s="18"/>
      <c r="AA58" s="18"/>
      <c r="AB58" s="18"/>
      <c r="AC58" s="18"/>
      <c r="AD58" s="21"/>
      <c r="AE58" s="21"/>
      <c r="AF58" s="21"/>
      <c r="AG58" s="18"/>
      <c r="AH58" s="22"/>
      <c r="AI58" s="18"/>
      <c r="AJ58" s="21"/>
      <c r="AK58" s="18"/>
      <c r="AL58" s="38"/>
      <c r="AM58" s="28" t="s">
        <v>100</v>
      </c>
      <c r="AN58" s="18"/>
      <c r="AO58" s="18"/>
      <c r="AP58" s="22"/>
      <c r="AQ58" s="22"/>
      <c r="AR58" s="39"/>
      <c r="AS58" s="35"/>
      <c r="AT58" s="39"/>
      <c r="AU58" s="28"/>
      <c r="AV58" s="31">
        <f t="shared" si="3"/>
        <v>1</v>
      </c>
      <c r="AW58" s="18"/>
    </row>
    <row r="59" spans="1:50" s="32" customFormat="1" x14ac:dyDescent="0.25">
      <c r="A59" s="40"/>
      <c r="D59" s="41"/>
    </row>
    <row r="60" spans="1:50" x14ac:dyDescent="0.3">
      <c r="D60" s="42"/>
    </row>
  </sheetData>
  <mergeCells count="30">
    <mergeCell ref="A4:O4"/>
    <mergeCell ref="B6:AC6"/>
    <mergeCell ref="AF7:AG7"/>
    <mergeCell ref="AD6:AE6"/>
    <mergeCell ref="AV6:AW6"/>
    <mergeCell ref="AJ7:AK7"/>
    <mergeCell ref="AL7:AM7"/>
    <mergeCell ref="AN7:AO7"/>
    <mergeCell ref="AP7:AQ7"/>
    <mergeCell ref="AR7:AS7"/>
    <mergeCell ref="AT7:AU7"/>
    <mergeCell ref="AF6:AK6"/>
    <mergeCell ref="AL6:AM6"/>
    <mergeCell ref="AN6:AU6"/>
    <mergeCell ref="AH7:AI7"/>
    <mergeCell ref="B7:C7"/>
    <mergeCell ref="D7:E7"/>
    <mergeCell ref="F7:G7"/>
    <mergeCell ref="H7:I7"/>
    <mergeCell ref="AD7:AE7"/>
    <mergeCell ref="J7:K7"/>
    <mergeCell ref="L7:M7"/>
    <mergeCell ref="N7:O7"/>
    <mergeCell ref="P7:Q7"/>
    <mergeCell ref="R7:S7"/>
    <mergeCell ref="T7:U7"/>
    <mergeCell ref="V7:W7"/>
    <mergeCell ref="X7:Y7"/>
    <mergeCell ref="Z7:AA7"/>
    <mergeCell ref="AB7:AC7"/>
  </mergeCells>
  <pageMargins left="0.62992125984251968" right="3.937007874015748E-2" top="0.15748031496062992" bottom="0" header="0.31496062992125984" footer="0.31496062992125984"/>
  <pageSetup paperSize="9" scale="45" fitToWidth="4" orientation="landscape" r:id="rId1"/>
  <colBreaks count="2" manualBreakCount="2">
    <brk id="15" max="50" man="1"/>
    <brk id="31" max="50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I5:J8"/>
  <sheetViews>
    <sheetView workbookViewId="0">
      <selection activeCell="F25" sqref="F25"/>
    </sheetView>
  </sheetViews>
  <sheetFormatPr defaultRowHeight="15" x14ac:dyDescent="0.25"/>
  <cols>
    <col min="9" max="9" width="16.7109375" customWidth="1"/>
  </cols>
  <sheetData>
    <row r="5" spans="9:10" x14ac:dyDescent="0.25">
      <c r="I5" s="52"/>
      <c r="J5" s="52"/>
    </row>
    <row r="7" spans="9:10" x14ac:dyDescent="0.25">
      <c r="I7" s="1"/>
    </row>
    <row r="8" spans="9:10" x14ac:dyDescent="0.25">
      <c r="I8" s="1"/>
    </row>
  </sheetData>
  <mergeCells count="1">
    <mergeCell ref="I5:J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СВОД РАСЧЕТ ПОКАЗАТЕЛЕЙ</vt:lpstr>
      <vt:lpstr>Лист1</vt:lpstr>
      <vt:lpstr>'СВОД РАСЧЕТ ПОКАЗАТЕЛЕЙ'!Заголовки_для_печати</vt:lpstr>
      <vt:lpstr>'СВОД РАСЧЕТ ПОКАЗАТЕЛЕЙ'!Область_печати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2025-05-29T09:16:31Z</dcterms:modified>
</cp:coreProperties>
</file>